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threadedComments/threadedComment2.xml" ContentType="application/vnd.ms-excel.threadedcomments+xml"/>
  <Override PartName="/xl/drawings/drawing4.xml" ContentType="application/vnd.openxmlformats-officedocument.drawing+xml"/>
  <Override PartName="/xl/comments5.xml" ContentType="application/vnd.openxmlformats-officedocument.spreadsheetml.comments+xml"/>
  <Override PartName="/xl/threadedComments/threadedComment3.xml" ContentType="application/vnd.ms-excel.threadedcomments+xml"/>
  <Override PartName="/xl/charts/chart1.xml" ContentType="application/vnd.openxmlformats-officedocument.drawingml.chart+xml"/>
  <Override PartName="/xl/drawings/drawing5.xml" ContentType="application/vnd.openxmlformats-officedocument.drawing+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omments6.xml" ContentType="application/vnd.openxmlformats-officedocument.spreadsheetml.comments+xml"/>
  <Override PartName="/xl/threadedComments/threadedComment4.xml" ContentType="application/vnd.ms-excel.threadedcomments+xml"/>
  <Override PartName="/xl/drawings/drawing6.xml" ContentType="application/vnd.openxmlformats-officedocument.drawing+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omments7.xml" ContentType="application/vnd.openxmlformats-officedocument.spreadsheetml.comments+xml"/>
  <Override PartName="/xl/drawings/drawing7.xml" ContentType="application/vnd.openxmlformats-officedocument.drawing+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drawings/drawing8.xml" ContentType="application/vnd.openxmlformats-officedocument.drawing+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9.xml" ContentType="application/vnd.openxmlformats-officedocument.drawing+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202300"/>
  <mc:AlternateContent xmlns:mc="http://schemas.openxmlformats.org/markup-compatibility/2006">
    <mc:Choice Requires="x15">
      <x15ac:absPath xmlns:x15ac="http://schemas.microsoft.com/office/spreadsheetml/2010/11/ac" url="C:\Models\SATIMGE_Veda\"/>
    </mc:Choice>
  </mc:AlternateContent>
  <xr:revisionPtr revIDLastSave="0" documentId="13_ncr:1_{97D06F23-1902-41E6-88D8-74DCCCB6DAE3}" xr6:coauthVersionLast="47" xr6:coauthVersionMax="47" xr10:uidLastSave="{00000000-0000-0000-0000-000000000000}"/>
  <bookViews>
    <workbookView xWindow="-120" yWindow="-120" windowWidth="29040" windowHeight="15720" firstSheet="9" activeTab="18" xr2:uid="{F50E881B-A154-4169-BC6C-0C53FB058594}"/>
  </bookViews>
  <sheets>
    <sheet name="DEMAND" sheetId="20" r:id="rId1"/>
    <sheet name="Demand_Calcs" sheetId="18" r:id="rId2"/>
    <sheet name="ITEMS_Tech_E" sheetId="1" r:id="rId3"/>
    <sheet name="TRP_E" sheetId="8" r:id="rId4"/>
    <sheet name="EFF-E_ANTC" sheetId="9" r:id="rId5"/>
    <sheet name="AFA-E_ANTC" sheetId="10" r:id="rId6"/>
    <sheet name="RESID-E_ANTC" sheetId="11" r:id="rId7"/>
    <sheet name="FNRG_ANTC" sheetId="7" r:id="rId8"/>
    <sheet name="TRA-EB" sheetId="2" r:id="rId9"/>
    <sheet name="Calib_2017" sheetId="12" r:id="rId10"/>
    <sheet name="Calib_old" sheetId="17" r:id="rId11"/>
    <sheet name="EB_2017" sheetId="13" r:id="rId12"/>
    <sheet name="Analytica" sheetId="4" r:id="rId13"/>
    <sheet name="SOL" sheetId="19" r:id="rId14"/>
    <sheet name="ITEMS_Tech_N" sheetId="21" r:id="rId15"/>
    <sheet name="TRP_N" sheetId="22" r:id="rId16"/>
    <sheet name="EFF-N_ANTC" sheetId="23" r:id="rId17"/>
    <sheet name="CapUnit-N_ANTC" sheetId="25" r:id="rId18"/>
    <sheet name="VehicleCostData" sheetId="26" r:id="rId19"/>
    <sheet name="AEA2012" sheetId="24" r:id="rId20"/>
    <sheet name="IEAWEO2023" sheetId="29" r:id="rId21"/>
    <sheet name="NREL_2022" sheetId="27" r:id="rId22"/>
    <sheet name="NREL_LCVs" sheetId="30" r:id="rId23"/>
  </sheets>
  <externalReferences>
    <externalReference r:id="rId24"/>
    <externalReference r:id="rId25"/>
    <externalReference r:id="rId26"/>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nm._FilterDatabase" localSheetId="12" hidden="1">Analytica!$A$58:$F$137</definedName>
    <definedName name="_xlnm._FilterDatabase" localSheetId="17" hidden="1">'CapUnit-N_ANTC'!$A$5:$D$98</definedName>
    <definedName name="_xlnm._FilterDatabase" localSheetId="16" hidden="1">'EFF-N_ANTC'!$A$5:$O$98</definedName>
    <definedName name="_xlnm._FilterDatabase" localSheetId="15" hidden="1">TRP_N!$A$4:$AD$122</definedName>
    <definedName name="_xlnm._FilterDatabase" localSheetId="18" hidden="1">VehicleCostData!$A$12:$AC$102</definedName>
    <definedName name="base.year">[1]NT_TRP!$A$2</definedName>
    <definedName name="cv.diesel.hhv.MJL">[1]Units.CV!$C$9</definedName>
    <definedName name="cv.diesel.lhv.MJL" localSheetId="19">#REF!</definedName>
    <definedName name="cv.diesel.lhv.MJL" localSheetId="10">#REF!</definedName>
    <definedName name="cv.diesel.lhv.MJL" localSheetId="21">#REF!</definedName>
    <definedName name="cv.diesel.lhv.MJL" localSheetId="22">#REF!</definedName>
    <definedName name="cv.diesel.lhv.MJL" localSheetId="13">#REF!</definedName>
    <definedName name="cv.diesel.lhv.MJL">#REF!</definedName>
    <definedName name="CV.LHV.E85" localSheetId="19">#REF!</definedName>
    <definedName name="CV.LHV.E85" localSheetId="10">#REF!</definedName>
    <definedName name="CV.LHV.E85" localSheetId="21">#REF!</definedName>
    <definedName name="CV.LHV.E85" localSheetId="22">#REF!</definedName>
    <definedName name="CV.LHV.E85" localSheetId="13">#REF!</definedName>
    <definedName name="CV.LHV.E85">#REF!</definedName>
    <definedName name="cv.petrol.hhv.MJL">[1]Units.CV!$C$13</definedName>
    <definedName name="CVV_DIESEL" localSheetId="19">#REF!</definedName>
    <definedName name="CVV_DIESEL" localSheetId="10">#REF!</definedName>
    <definedName name="CVV_DIESEL" localSheetId="21">#REF!</definedName>
    <definedName name="CVV_DIESEL" localSheetId="22">#REF!</definedName>
    <definedName name="CVV_DIESEL" localSheetId="13">#REF!</definedName>
    <definedName name="CVV_DIESEL">#REF!</definedName>
    <definedName name="CVV_Petrol" localSheetId="19">#REF!</definedName>
    <definedName name="CVV_Petrol" localSheetId="10">#REF!</definedName>
    <definedName name="CVV_Petrol" localSheetId="21">#REF!</definedName>
    <definedName name="CVV_Petrol" localSheetId="22">#REF!</definedName>
    <definedName name="CVV_Petrol" localSheetId="13">#REF!</definedName>
    <definedName name="CVV_Petrol">#REF!</definedName>
    <definedName name="DieselLHV">[1]Units.CV!$F$46</definedName>
    <definedName name="EB.year" localSheetId="19">#REF!</definedName>
    <definedName name="EB.year" localSheetId="10">#REF!</definedName>
    <definedName name="EB.year" localSheetId="21">#REF!</definedName>
    <definedName name="EB.year" localSheetId="22">#REF!</definedName>
    <definedName name="EB.year" localSheetId="13">#REF!</definedName>
    <definedName name="EB.year">#REF!</definedName>
    <definedName name="emissions_data" localSheetId="19">#REF!</definedName>
    <definedName name="emissions_data" localSheetId="10">#REF!</definedName>
    <definedName name="emissions_data" localSheetId="21">#REF!</definedName>
    <definedName name="emissions_data" localSheetId="22">#REF!</definedName>
    <definedName name="emissions_data" localSheetId="13">#REF!</definedName>
    <definedName name="emissions_data">#REF!</definedName>
    <definedName name="emissions_data_parameters" localSheetId="19">#REF!</definedName>
    <definedName name="emissions_data_parameters" localSheetId="10">#REF!</definedName>
    <definedName name="emissions_data_parameters" localSheetId="21">#REF!</definedName>
    <definedName name="emissions_data_parameters" localSheetId="22">#REF!</definedName>
    <definedName name="emissions_data_parameters" localSheetId="13">#REF!</definedName>
    <definedName name="emissions_data_parameters">#REF!</definedName>
    <definedName name="emissions_start" localSheetId="19">#REF!</definedName>
    <definedName name="emissions_start" localSheetId="10">#REF!</definedName>
    <definedName name="emissions_start" localSheetId="21">#REF!</definedName>
    <definedName name="emissions_start" localSheetId="22">#REF!</definedName>
    <definedName name="emissions_start" localSheetId="13">#REF!</definedName>
    <definedName name="emissions_start">#REF!</definedName>
    <definedName name="emissions_types" localSheetId="19">#REF!</definedName>
    <definedName name="emissions_types" localSheetId="10">#REF!</definedName>
    <definedName name="emissions_types" localSheetId="21">#REF!</definedName>
    <definedName name="emissions_types" localSheetId="22">#REF!</definedName>
    <definedName name="emissions_types" localSheetId="13">#REF!</definedName>
    <definedName name="emissions_types">#REF!</definedName>
    <definedName name="eMode">[1]Scenarios!$B$21</definedName>
    <definedName name="eps" localSheetId="19">#REF!</definedName>
    <definedName name="eps" localSheetId="10">#REF!</definedName>
    <definedName name="eps" localSheetId="21">#REF!</definedName>
    <definedName name="eps" localSheetId="22">#REF!</definedName>
    <definedName name="eps" localSheetId="13">#REF!</definedName>
    <definedName name="eps">#REF!</definedName>
    <definedName name="ERC.Efficiency">[1]Scenarios!$B$16</definedName>
    <definedName name="EV.Battery">[1]Scenarios!$B$28</definedName>
    <definedName name="flagPenetrationOnly">[1]Scenarios!$B$3</definedName>
    <definedName name="fuel_types" localSheetId="19">#REF!</definedName>
    <definedName name="fuel_types" localSheetId="10">#REF!</definedName>
    <definedName name="fuel_types" localSheetId="21">#REF!</definedName>
    <definedName name="fuel_types" localSheetId="22">#REF!</definedName>
    <definedName name="fuel_types" localSheetId="13">#REF!</definedName>
    <definedName name="fuel_types">#REF!</definedName>
    <definedName name="FuelNames" localSheetId="19">#REF!</definedName>
    <definedName name="FuelNames" localSheetId="10">#REF!</definedName>
    <definedName name="FuelNames" localSheetId="21">#REF!</definedName>
    <definedName name="FuelNames" localSheetId="22">#REF!</definedName>
    <definedName name="FuelNames" localSheetId="13">#REF!</definedName>
    <definedName name="FuelNames">#REF!</definedName>
    <definedName name="GasolineLHV" localSheetId="19">#REF!</definedName>
    <definedName name="GasolineLHV" localSheetId="10">#REF!</definedName>
    <definedName name="GasolineLHV" localSheetId="21">#REF!</definedName>
    <definedName name="GasolineLHV" localSheetId="22">#REF!</definedName>
    <definedName name="GasolineLHV" localSheetId="13">#REF!</definedName>
    <definedName name="GasolineLHV">#REF!</definedName>
    <definedName name="HEV_x">NREL_2022!$O$46:$R$46</definedName>
    <definedName name="HEV_y">NREL_2022!$O$47:$R$47</definedName>
    <definedName name="Pal_Workbook_GUID" localSheetId="11" hidden="1">"PR96PDJKS3LEB6ZECQ4BMJXM"</definedName>
    <definedName name="Pal_Workbook_GUID" localSheetId="13" hidden="1">"96L1C7T4Q6JN4DLGVSVE41P3"</definedName>
    <definedName name="Pal_Workbook_GUID" hidden="1">"VPJDZVPESBNLN75EMHY6J774"</definedName>
    <definedName name="reftrofits">#REF!</definedName>
    <definedName name="retrofits">[1]Scenarios!$B$24</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sector_prefix">#REF!</definedName>
    <definedName name="solver_adj" localSheetId="9" hidden="1">Calib_2017!$H$96,Calib_2017!$K$118,Calib_2017!$J$87,Calib_2017!$H$102,Calib_2017!$H$101,Calib_2017!$H$104:$J$104,Calib_2017!$H$113:$K$113</definedName>
    <definedName name="solver_adj" localSheetId="10" hidden="1">Calib_old!$H$96,Calib_old!$K$118,Calib_old!$J$87,Calib_old!$H$102,Calib_old!$H$101,Calib_old!$H$104:$J$104,Calib_old!$H$113:$K$113</definedName>
    <definedName name="solver_cvg" localSheetId="9" hidden="1">0.0001</definedName>
    <definedName name="solver_cvg" localSheetId="10" hidden="1">0.0001</definedName>
    <definedName name="solver_drv" localSheetId="9" hidden="1">1</definedName>
    <definedName name="solver_drv" localSheetId="10" hidden="1">1</definedName>
    <definedName name="solver_eng" localSheetId="9" hidden="1">1</definedName>
    <definedName name="solver_eng" localSheetId="10" hidden="1">1</definedName>
    <definedName name="solver_est" localSheetId="9" hidden="1">1</definedName>
    <definedName name="solver_est" localSheetId="10" hidden="1">1</definedName>
    <definedName name="solver_itr" localSheetId="9" hidden="1">100</definedName>
    <definedName name="solver_itr" localSheetId="10" hidden="1">100</definedName>
    <definedName name="solver_lin" localSheetId="9" hidden="1">2</definedName>
    <definedName name="solver_lin" localSheetId="10" hidden="1">2</definedName>
    <definedName name="solver_mip" localSheetId="9" hidden="1">2147483647</definedName>
    <definedName name="solver_mip" localSheetId="10" hidden="1">2147483647</definedName>
    <definedName name="solver_mni" localSheetId="9" hidden="1">30</definedName>
    <definedName name="solver_mni" localSheetId="10" hidden="1">30</definedName>
    <definedName name="solver_mrt" localSheetId="9" hidden="1">0.075</definedName>
    <definedName name="solver_mrt" localSheetId="10" hidden="1">0.075</definedName>
    <definedName name="solver_msl" localSheetId="9" hidden="1">2</definedName>
    <definedName name="solver_msl" localSheetId="10" hidden="1">2</definedName>
    <definedName name="solver_neg" localSheetId="9" hidden="1">2</definedName>
    <definedName name="solver_neg" localSheetId="10" hidden="1">2</definedName>
    <definedName name="solver_nod" localSheetId="9" hidden="1">2147483647</definedName>
    <definedName name="solver_nod" localSheetId="10" hidden="1">2147483647</definedName>
    <definedName name="solver_num" localSheetId="9" hidden="1">0</definedName>
    <definedName name="solver_num" localSheetId="10" hidden="1">0</definedName>
    <definedName name="solver_nwt" localSheetId="9" hidden="1">1</definedName>
    <definedName name="solver_nwt" localSheetId="10" hidden="1">1</definedName>
    <definedName name="solver_opt" localSheetId="9" hidden="1">Calib_2017!$N$120</definedName>
    <definedName name="solver_opt" localSheetId="10" hidden="1">Calib_old!$N$120</definedName>
    <definedName name="solver_pre" localSheetId="9" hidden="1">0.000001</definedName>
    <definedName name="solver_pre" localSheetId="10" hidden="1">0.000001</definedName>
    <definedName name="solver_rbv" localSheetId="9" hidden="1">1</definedName>
    <definedName name="solver_rbv" localSheetId="10" hidden="1">1</definedName>
    <definedName name="solver_rlx" localSheetId="9" hidden="1">1</definedName>
    <definedName name="solver_rlx" localSheetId="10" hidden="1">1</definedName>
    <definedName name="solver_rsd" localSheetId="9" hidden="1">0</definedName>
    <definedName name="solver_rsd" localSheetId="10" hidden="1">0</definedName>
    <definedName name="solver_scl" localSheetId="9" hidden="1">2</definedName>
    <definedName name="solver_scl" localSheetId="10" hidden="1">2</definedName>
    <definedName name="solver_sho" localSheetId="9" hidden="1">2</definedName>
    <definedName name="solver_sho" localSheetId="10" hidden="1">2</definedName>
    <definedName name="solver_ssz" localSheetId="9" hidden="1">100</definedName>
    <definedName name="solver_ssz" localSheetId="10" hidden="1">100</definedName>
    <definedName name="solver_tim" localSheetId="9" hidden="1">100</definedName>
    <definedName name="solver_tim" localSheetId="10" hidden="1">100</definedName>
    <definedName name="solver_tol" localSheetId="9" hidden="1">0.05</definedName>
    <definedName name="solver_tol" localSheetId="10" hidden="1">0.05</definedName>
    <definedName name="solver_typ" localSheetId="9" hidden="1">2</definedName>
    <definedName name="solver_typ" localSheetId="10" hidden="1">2</definedName>
    <definedName name="solver_val" localSheetId="9" hidden="1">0</definedName>
    <definedName name="solver_val" localSheetId="10" hidden="1">0</definedName>
    <definedName name="solver_ver" localSheetId="9" hidden="1">3</definedName>
    <definedName name="solver_ver" localSheetId="10" hidden="1">3</definedName>
    <definedName name="TRA.freight.capex">[1]Scenarios!$B$18</definedName>
    <definedName name="XLSIMSIM" localSheetId="19" hidden="1">{"Sim",3,"Output 1","'Reworked data'!$AI$84","Output 2","'Reworked data'!$AJ$84","Output 3","'Reworked data'!$AK$84","1","2","100","0"}</definedName>
    <definedName name="XLSIMSIM" localSheetId="12" hidden="1">{"Sim",3,"Output 1","'Reworked data'!$AI$84","Output 2","'Reworked data'!$AJ$84","Output 3","'Reworked data'!$AK$84","1","2","100","0"}</definedName>
    <definedName name="XLSIMSIM" localSheetId="10" hidden="1">{"Sim",3,"Output 1","'Reworked data'!$AI$84","Output 2","'Reworked data'!$AJ$84","Output 3","'Reworked data'!$AK$84","1","2","100","0"}</definedName>
    <definedName name="XLSIMSIM" localSheetId="21" hidden="1">{"Sim",3,"Output 1","'Reworked data'!$AI$84","Output 2","'Reworked data'!$AJ$84","Output 3","'Reworked data'!$AK$84","1","2","100","0"}</definedName>
    <definedName name="XLSIMSIM" localSheetId="22" hidden="1">{"Sim",3,"Output 1","'Reworked data'!$AI$84","Output 2","'Reworked data'!$AJ$84","Output 3","'Reworked data'!$AK$84","1","2","100","0"}</definedName>
    <definedName name="XLSIMSIM" localSheetId="13" hidden="1">{"Sim",3,"Output 1","'Reworked data'!$AI$84","Output 2","'Reworked data'!$AJ$84","Output 3","'Reworked data'!$AK$84","1","2","100","0"}</definedName>
    <definedName name="XLSIMSIM" hidden="1">{"Sim",3,"Output 1","'Reworked data'!$AI$84","Output 2","'Reworked data'!$AJ$84","Output 3","'Reworked data'!$AK$84","1","2","100","0"}</definedName>
    <definedName name="xvalues" localSheetId="22">NREL_LCVs!$X$9:$AC$9</definedName>
    <definedName name="xvalues">#REF!</definedName>
    <definedName name="zar.2010" localSheetId="19">#REF!</definedName>
    <definedName name="zar.2010" localSheetId="10">#REF!</definedName>
    <definedName name="zar.2010" localSheetId="21">#REF!</definedName>
    <definedName name="zar.2010" localSheetId="22">#REF!</definedName>
    <definedName name="zar.2010" localSheetId="13">#REF!</definedName>
    <definedName name="zar.2010">#REF!</definedName>
    <definedName name="zar.2012" localSheetId="19">#REF!</definedName>
    <definedName name="zar.2012" localSheetId="10">#REF!</definedName>
    <definedName name="zar.2012" localSheetId="21">#REF!</definedName>
    <definedName name="zar.2012" localSheetId="22">#REF!</definedName>
    <definedName name="zar.2012" localSheetId="13">#REF!</definedName>
    <definedName name="zar.2012">#REF!</definedName>
    <definedName name="zar.2015" localSheetId="19">#REF!</definedName>
    <definedName name="zar.2015" localSheetId="10">#REF!</definedName>
    <definedName name="zar.2015" localSheetId="21">#REF!</definedName>
    <definedName name="zar.2015" localSheetId="22">#REF!</definedName>
    <definedName name="zar.2015" localSheetId="13">#REF!</definedName>
    <definedName name="zar.2015">#REF!</definedName>
    <definedName name="zar.base" localSheetId="19">#REF!</definedName>
    <definedName name="zar.base" localSheetId="10">#REF!</definedName>
    <definedName name="zar.base" localSheetId="21">#REF!</definedName>
    <definedName name="zar.base" localSheetId="22">#REF!</definedName>
    <definedName name="zar.base" localSheetId="13">#REF!</definedName>
    <definedName name="zar.base">#REF!</definedName>
  </definedNames>
  <calcPr calcId="191029"/>
  <pivotCaches>
    <pivotCache cacheId="142" r:id="rId27"/>
    <pivotCache cacheId="143" r:id="rId2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22" i="22" l="1"/>
  <c r="B121" i="22"/>
  <c r="B120" i="22"/>
  <c r="B119" i="22"/>
  <c r="B118" i="22"/>
  <c r="B117" i="22"/>
  <c r="B116" i="22"/>
  <c r="B115" i="22"/>
  <c r="B114" i="22"/>
  <c r="B113" i="22"/>
  <c r="B112" i="22"/>
  <c r="B111" i="22"/>
  <c r="B110" i="22"/>
  <c r="B109" i="22"/>
  <c r="B108" i="22"/>
  <c r="B107" i="22"/>
  <c r="B106" i="22"/>
  <c r="B105" i="22"/>
  <c r="B104" i="22"/>
  <c r="B103" i="22"/>
  <c r="B102" i="22"/>
  <c r="B101" i="22"/>
  <c r="B100" i="22"/>
  <c r="B99" i="22"/>
  <c r="B98" i="22"/>
  <c r="B97" i="22"/>
  <c r="B96" i="22"/>
  <c r="B95" i="22"/>
  <c r="B94" i="22"/>
  <c r="B93" i="22"/>
  <c r="B92" i="22"/>
  <c r="B91" i="22"/>
  <c r="B90" i="22"/>
  <c r="B89" i="22"/>
  <c r="B88" i="22"/>
  <c r="B87" i="22"/>
  <c r="B86" i="22"/>
  <c r="B85" i="22"/>
  <c r="B84" i="22"/>
  <c r="B83" i="22"/>
  <c r="B82" i="22"/>
  <c r="B81" i="22"/>
  <c r="B80" i="22"/>
  <c r="B79" i="22"/>
  <c r="B78" i="22"/>
  <c r="B77" i="22"/>
  <c r="B76" i="22"/>
  <c r="B75" i="22"/>
  <c r="B74" i="22"/>
  <c r="B73" i="22"/>
  <c r="B72" i="22"/>
  <c r="B71" i="22"/>
  <c r="B70" i="22"/>
  <c r="B69" i="22"/>
  <c r="B68" i="22"/>
  <c r="B67" i="22"/>
  <c r="B66" i="22"/>
  <c r="B65" i="22"/>
  <c r="B64" i="22"/>
  <c r="B63" i="22"/>
  <c r="B62" i="22"/>
  <c r="B61" i="22"/>
  <c r="B60" i="22"/>
  <c r="B59" i="22"/>
  <c r="B58" i="22"/>
  <c r="B57" i="22"/>
  <c r="B56" i="22"/>
  <c r="B55" i="22"/>
  <c r="B54" i="22"/>
  <c r="B53" i="22"/>
  <c r="B52" i="22"/>
  <c r="B51" i="22"/>
  <c r="B50" i="22"/>
  <c r="B49" i="22"/>
  <c r="B48" i="22"/>
  <c r="B47" i="22"/>
  <c r="B46" i="22"/>
  <c r="B45" i="22"/>
  <c r="B44" i="22"/>
  <c r="B43" i="22"/>
  <c r="B42" i="22"/>
  <c r="B41" i="22"/>
  <c r="B40" i="22"/>
  <c r="B39" i="22"/>
  <c r="B38" i="22"/>
  <c r="B37" i="22"/>
  <c r="B36" i="22"/>
  <c r="B35" i="22"/>
  <c r="B34" i="22"/>
  <c r="B33" i="22"/>
  <c r="B32" i="22"/>
  <c r="B31" i="22"/>
  <c r="B30" i="22"/>
  <c r="B29" i="22"/>
  <c r="B28" i="22"/>
  <c r="B27" i="22"/>
  <c r="B26" i="22"/>
  <c r="B25" i="22"/>
  <c r="B24" i="22"/>
  <c r="B23" i="22"/>
  <c r="B22" i="22"/>
  <c r="B21" i="22"/>
  <c r="B20" i="22"/>
  <c r="B19" i="22"/>
  <c r="B18" i="22"/>
  <c r="B17" i="22"/>
  <c r="B16" i="22"/>
  <c r="B15" i="22"/>
  <c r="B14" i="22"/>
  <c r="B13" i="22"/>
  <c r="B12" i="22"/>
  <c r="B11" i="22"/>
  <c r="B10" i="22"/>
  <c r="B9" i="22"/>
  <c r="B8" i="22"/>
  <c r="B7" i="22"/>
  <c r="B6" i="22"/>
  <c r="D16" i="21"/>
  <c r="D17" i="21"/>
  <c r="D18" i="21"/>
  <c r="D19" i="21"/>
  <c r="D20" i="21"/>
  <c r="D21" i="21"/>
  <c r="D22" i="21"/>
  <c r="D23" i="21"/>
  <c r="D24" i="21"/>
  <c r="D25" i="21"/>
  <c r="D26" i="21"/>
  <c r="D27" i="21"/>
  <c r="D28" i="21"/>
  <c r="D29" i="21"/>
  <c r="D30" i="21"/>
  <c r="D31" i="21"/>
  <c r="D32" i="21"/>
  <c r="D33" i="21"/>
  <c r="D34" i="21"/>
  <c r="D35" i="21"/>
  <c r="D36" i="21"/>
  <c r="D37" i="21"/>
  <c r="D38" i="21"/>
  <c r="D39" i="21"/>
  <c r="D40" i="21"/>
  <c r="D41" i="21"/>
  <c r="D42" i="21"/>
  <c r="D43" i="21"/>
  <c r="D44" i="21"/>
  <c r="D45" i="21"/>
  <c r="D46" i="21"/>
  <c r="D47" i="21"/>
  <c r="D48" i="21"/>
  <c r="D49" i="21"/>
  <c r="D50" i="21"/>
  <c r="D51" i="21"/>
  <c r="D52" i="21"/>
  <c r="D53" i="21"/>
  <c r="D54" i="21"/>
  <c r="D55" i="21"/>
  <c r="D56" i="21"/>
  <c r="D57" i="21"/>
  <c r="D58" i="21"/>
  <c r="D59" i="21"/>
  <c r="D60" i="21"/>
  <c r="D61" i="21"/>
  <c r="D62" i="21"/>
  <c r="D63" i="21"/>
  <c r="D64" i="21"/>
  <c r="D65" i="21"/>
  <c r="D66" i="21"/>
  <c r="D67" i="21"/>
  <c r="D68" i="21"/>
  <c r="D69" i="21"/>
  <c r="D70" i="21"/>
  <c r="D71" i="21"/>
  <c r="D72" i="21"/>
  <c r="D73" i="21"/>
  <c r="D74" i="21"/>
  <c r="D75" i="21"/>
  <c r="D76" i="21"/>
  <c r="D77" i="21"/>
  <c r="D78" i="21"/>
  <c r="D79" i="21"/>
  <c r="D80" i="21"/>
  <c r="D81" i="21"/>
  <c r="D82" i="21"/>
  <c r="D83" i="21"/>
  <c r="D84" i="21"/>
  <c r="D85" i="21"/>
  <c r="D86" i="21"/>
  <c r="D87" i="21"/>
  <c r="D88" i="21"/>
  <c r="D89" i="21"/>
  <c r="D90" i="21"/>
  <c r="D91" i="21"/>
  <c r="D92" i="21"/>
  <c r="D93" i="21"/>
  <c r="D94" i="21"/>
  <c r="D95" i="21"/>
  <c r="D96" i="21"/>
  <c r="D97" i="21"/>
  <c r="D98" i="21"/>
  <c r="D99" i="21"/>
  <c r="D100" i="21"/>
  <c r="D101" i="21"/>
  <c r="D102" i="21"/>
  <c r="D103" i="21"/>
  <c r="D104" i="21"/>
  <c r="D105" i="21"/>
  <c r="D106" i="21"/>
  <c r="D107" i="21"/>
  <c r="D108" i="21"/>
  <c r="D109" i="21"/>
  <c r="D110" i="21"/>
  <c r="D111" i="21"/>
  <c r="D112" i="21"/>
  <c r="D113" i="21"/>
  <c r="D114" i="21"/>
  <c r="D115" i="21"/>
  <c r="D116" i="21"/>
  <c r="D117" i="21"/>
  <c r="D118" i="21"/>
  <c r="D119" i="21"/>
  <c r="D120" i="21"/>
  <c r="D121" i="21"/>
  <c r="D122" i="21"/>
  <c r="D7" i="21"/>
  <c r="D8" i="21"/>
  <c r="D9" i="21"/>
  <c r="D10" i="21"/>
  <c r="D11" i="21"/>
  <c r="D12" i="21"/>
  <c r="D13" i="21"/>
  <c r="D14" i="21"/>
  <c r="D15" i="21"/>
  <c r="D6" i="21"/>
  <c r="B26" i="26" s="1"/>
  <c r="D82" i="1"/>
  <c r="D81" i="1"/>
  <c r="D80" i="1"/>
  <c r="D79" i="1"/>
  <c r="D78" i="1"/>
  <c r="D77" i="1"/>
  <c r="D76" i="1"/>
  <c r="D75" i="1"/>
  <c r="D74" i="1"/>
  <c r="D73" i="1"/>
  <c r="D72" i="1"/>
  <c r="D71" i="1"/>
  <c r="D70" i="1"/>
  <c r="D69" i="1"/>
  <c r="D68" i="1"/>
  <c r="D67" i="1"/>
  <c r="D66" i="1"/>
  <c r="D65" i="1"/>
  <c r="D64" i="1"/>
  <c r="D63" i="1"/>
  <c r="D62" i="1"/>
  <c r="D61" i="1"/>
  <c r="D60" i="1"/>
  <c r="D59" i="1"/>
  <c r="D58" i="1"/>
  <c r="D57" i="1"/>
  <c r="D56" i="1"/>
  <c r="D55" i="1"/>
  <c r="D54" i="1"/>
  <c r="D53" i="1"/>
  <c r="D52" i="1"/>
  <c r="D51" i="1"/>
  <c r="D50" i="1"/>
  <c r="D49" i="1"/>
  <c r="D48" i="1"/>
  <c r="D47" i="1"/>
  <c r="D46" i="1"/>
  <c r="D45" i="1"/>
  <c r="D44" i="1"/>
  <c r="D43" i="1"/>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6" i="1"/>
  <c r="D7" i="1"/>
  <c r="AF47" i="4"/>
  <c r="AF43" i="4"/>
  <c r="F30" i="23"/>
  <c r="I39" i="26"/>
  <c r="I38" i="26" s="1"/>
  <c r="J38" i="26" s="1"/>
  <c r="AC26" i="26"/>
  <c r="AC17" i="26"/>
  <c r="U26" i="26"/>
  <c r="U17" i="26"/>
  <c r="D26" i="26"/>
  <c r="D17" i="26"/>
  <c r="B19" i="25"/>
  <c r="B10" i="25"/>
  <c r="C8" i="9"/>
  <c r="D8" i="9"/>
  <c r="E8" i="9"/>
  <c r="F8" i="9"/>
  <c r="G8" i="9"/>
  <c r="H8" i="9"/>
  <c r="C9" i="9"/>
  <c r="AC22" i="22"/>
  <c r="C22" i="22"/>
  <c r="AC11" i="22"/>
  <c r="C11" i="22"/>
  <c r="B17" i="26" l="1"/>
  <c r="B10" i="23"/>
  <c r="B19" i="23"/>
  <c r="J39" i="26"/>
  <c r="H35" i="11" l="1"/>
  <c r="G35" i="11"/>
  <c r="H34" i="11"/>
  <c r="G34" i="11"/>
  <c r="H33" i="11"/>
  <c r="AK48" i="4"/>
  <c r="AJ48" i="4"/>
  <c r="AI48" i="4"/>
  <c r="H36" i="11" s="1"/>
  <c r="AH48" i="4"/>
  <c r="G36" i="11" s="1"/>
  <c r="AG48" i="4"/>
  <c r="AF48" i="4"/>
  <c r="AK47" i="4"/>
  <c r="AJ47" i="4"/>
  <c r="AI47" i="4"/>
  <c r="AH47" i="4"/>
  <c r="AG47" i="4"/>
  <c r="AK46" i="4"/>
  <c r="AJ46" i="4"/>
  <c r="AI46" i="4"/>
  <c r="AH46" i="4"/>
  <c r="AG46" i="4"/>
  <c r="AF46" i="4"/>
  <c r="AK45" i="4"/>
  <c r="AJ45" i="4"/>
  <c r="AI45" i="4"/>
  <c r="AH45" i="4"/>
  <c r="G33" i="11" s="1"/>
  <c r="AG45" i="4"/>
  <c r="AF45" i="4"/>
  <c r="AK44" i="4"/>
  <c r="AJ44" i="4"/>
  <c r="AI44" i="4"/>
  <c r="H32" i="11" s="1"/>
  <c r="AH44" i="4"/>
  <c r="G32" i="11" s="1"/>
  <c r="AK43" i="4"/>
  <c r="AJ43" i="4"/>
  <c r="AI43" i="4"/>
  <c r="H31" i="11" s="1"/>
  <c r="AH43" i="4"/>
  <c r="G31" i="11" s="1"/>
  <c r="AG43" i="4"/>
  <c r="AC52" i="22"/>
  <c r="AC50" i="22"/>
  <c r="V28" i="30"/>
  <c r="U28" i="30"/>
  <c r="T28" i="30"/>
  <c r="S28" i="30"/>
  <c r="R28" i="30"/>
  <c r="Q28" i="30"/>
  <c r="P28" i="30"/>
  <c r="V27" i="30"/>
  <c r="U27" i="30"/>
  <c r="T27" i="30"/>
  <c r="S27" i="30"/>
  <c r="R27" i="30"/>
  <c r="Q27" i="30"/>
  <c r="P27" i="30"/>
  <c r="V26" i="30"/>
  <c r="U26" i="30"/>
  <c r="T26" i="30"/>
  <c r="S26" i="30"/>
  <c r="R26" i="30"/>
  <c r="Q26" i="30"/>
  <c r="P26" i="30"/>
  <c r="V25" i="30"/>
  <c r="U25" i="30"/>
  <c r="T25" i="30"/>
  <c r="S25" i="30"/>
  <c r="R25" i="30"/>
  <c r="Q25" i="30"/>
  <c r="P25" i="30"/>
  <c r="V24" i="30"/>
  <c r="U24" i="30"/>
  <c r="T24" i="30"/>
  <c r="S24" i="30"/>
  <c r="R24" i="30"/>
  <c r="Q24" i="30"/>
  <c r="P24" i="30"/>
  <c r="V23" i="30"/>
  <c r="U23" i="30"/>
  <c r="T23" i="30"/>
  <c r="S23" i="30"/>
  <c r="R23" i="30"/>
  <c r="Q23" i="30"/>
  <c r="P23" i="30"/>
  <c r="V21" i="30"/>
  <c r="U21" i="30"/>
  <c r="T21" i="30"/>
  <c r="S21" i="30"/>
  <c r="R21" i="30"/>
  <c r="Q21" i="30"/>
  <c r="P21" i="30"/>
  <c r="V20" i="30"/>
  <c r="U20" i="30"/>
  <c r="T20" i="30"/>
  <c r="S20" i="30"/>
  <c r="R20" i="30"/>
  <c r="Q20" i="30"/>
  <c r="P20" i="30"/>
  <c r="V19" i="30"/>
  <c r="U19" i="30"/>
  <c r="T19" i="30"/>
  <c r="S19" i="30"/>
  <c r="R19" i="30"/>
  <c r="Q19" i="30"/>
  <c r="P19" i="30"/>
  <c r="V18" i="30"/>
  <c r="U18" i="30"/>
  <c r="T18" i="30"/>
  <c r="S18" i="30"/>
  <c r="R18" i="30"/>
  <c r="Q18" i="30"/>
  <c r="P18" i="30"/>
  <c r="V17" i="30"/>
  <c r="U17" i="30"/>
  <c r="T17" i="30"/>
  <c r="S17" i="30"/>
  <c r="R17" i="30"/>
  <c r="Q17" i="30"/>
  <c r="P17" i="30"/>
  <c r="V15" i="30"/>
  <c r="U15" i="30"/>
  <c r="T15" i="30"/>
  <c r="S15" i="30"/>
  <c r="R15" i="30"/>
  <c r="Q15" i="30"/>
  <c r="X14" i="30" a="1"/>
  <c r="Y14" i="30" s="1"/>
  <c r="V14" i="30"/>
  <c r="U14" i="30"/>
  <c r="T14" i="30"/>
  <c r="S14" i="30"/>
  <c r="R14" i="30"/>
  <c r="Q14" i="30"/>
  <c r="P14" i="30"/>
  <c r="V13" i="30"/>
  <c r="U13" i="30"/>
  <c r="T13" i="30"/>
  <c r="S13" i="30"/>
  <c r="R13" i="30"/>
  <c r="Q13" i="30"/>
  <c r="P13" i="30"/>
  <c r="V12" i="30"/>
  <c r="U12" i="30"/>
  <c r="T12" i="30"/>
  <c r="S12" i="30"/>
  <c r="R12" i="30"/>
  <c r="Q12" i="30"/>
  <c r="P12" i="30"/>
  <c r="AC11" i="30"/>
  <c r="AB11" i="30"/>
  <c r="AA11" i="30"/>
  <c r="Z11" i="30"/>
  <c r="Y11" i="30"/>
  <c r="X11" i="30"/>
  <c r="V11" i="30"/>
  <c r="U11" i="30"/>
  <c r="T11" i="30"/>
  <c r="S11" i="30"/>
  <c r="R11" i="30"/>
  <c r="Q11" i="30"/>
  <c r="P11" i="30"/>
  <c r="AC10" i="30"/>
  <c r="AB10" i="30"/>
  <c r="AA10" i="30"/>
  <c r="Z10" i="30"/>
  <c r="Y10" i="30"/>
  <c r="X10" i="30"/>
  <c r="Z14" i="30" l="1"/>
  <c r="X14" i="30"/>
  <c r="U93" i="26" l="1"/>
  <c r="U92" i="26"/>
  <c r="U91" i="26"/>
  <c r="U90" i="26"/>
  <c r="U89" i="26"/>
  <c r="U88" i="26"/>
  <c r="U87" i="26"/>
  <c r="U86" i="26"/>
  <c r="U85" i="26"/>
  <c r="U84" i="26"/>
  <c r="U83" i="26"/>
  <c r="U82" i="26"/>
  <c r="U81" i="26"/>
  <c r="U80" i="26"/>
  <c r="U79" i="26"/>
  <c r="U78" i="26"/>
  <c r="U77" i="26"/>
  <c r="U76" i="26"/>
  <c r="U75" i="26"/>
  <c r="U74" i="26"/>
  <c r="U73" i="26"/>
  <c r="U72" i="26"/>
  <c r="U71" i="26"/>
  <c r="U70" i="26"/>
  <c r="U69" i="26"/>
  <c r="U68" i="26"/>
  <c r="U67" i="26"/>
  <c r="U66" i="26"/>
  <c r="U65" i="26"/>
  <c r="U64" i="26"/>
  <c r="U63" i="26"/>
  <c r="U62" i="26"/>
  <c r="U61" i="26"/>
  <c r="U60" i="26"/>
  <c r="U59" i="26"/>
  <c r="U58" i="26"/>
  <c r="U57" i="26"/>
  <c r="U56" i="26"/>
  <c r="U55" i="26"/>
  <c r="U54" i="26"/>
  <c r="U53" i="26"/>
  <c r="U52" i="26"/>
  <c r="U51" i="26"/>
  <c r="U50" i="26"/>
  <c r="U49" i="26"/>
  <c r="U48" i="26"/>
  <c r="U47" i="26"/>
  <c r="U46" i="26"/>
  <c r="U45" i="26"/>
  <c r="U44" i="26"/>
  <c r="U43" i="26"/>
  <c r="U42" i="26"/>
  <c r="U41" i="26"/>
  <c r="U40" i="26"/>
  <c r="U39" i="26"/>
  <c r="U38" i="26"/>
  <c r="U37" i="26"/>
  <c r="U36" i="26"/>
  <c r="U35" i="26"/>
  <c r="U34" i="26"/>
  <c r="U33" i="26"/>
  <c r="U32" i="26"/>
  <c r="U31" i="26"/>
  <c r="U30" i="26"/>
  <c r="U29" i="26"/>
  <c r="U28" i="26"/>
  <c r="U27" i="26"/>
  <c r="U25" i="26"/>
  <c r="U24" i="26"/>
  <c r="U23" i="26"/>
  <c r="U22" i="26"/>
  <c r="U21" i="26"/>
  <c r="U20" i="26"/>
  <c r="U19" i="26"/>
  <c r="U18" i="26"/>
  <c r="U16" i="26"/>
  <c r="U15" i="26"/>
  <c r="U14" i="26"/>
  <c r="U13" i="26"/>
  <c r="O7" i="26"/>
  <c r="P7" i="26"/>
  <c r="Q7" i="26"/>
  <c r="P20" i="27"/>
  <c r="P15" i="27"/>
  <c r="P10" i="27"/>
  <c r="P30" i="27"/>
  <c r="T102" i="26"/>
  <c r="S102" i="26"/>
  <c r="R102" i="26"/>
  <c r="Q102" i="26"/>
  <c r="P102" i="26"/>
  <c r="O102" i="26"/>
  <c r="N102" i="26"/>
  <c r="T101" i="26"/>
  <c r="S101" i="26"/>
  <c r="R101" i="26"/>
  <c r="Q101" i="26"/>
  <c r="P101" i="26"/>
  <c r="O101" i="26"/>
  <c r="N101" i="26"/>
  <c r="T100" i="26"/>
  <c r="S100" i="26"/>
  <c r="R100" i="26"/>
  <c r="Q100" i="26"/>
  <c r="P100" i="26"/>
  <c r="O100" i="26"/>
  <c r="N100" i="26"/>
  <c r="T99" i="26"/>
  <c r="S99" i="26"/>
  <c r="R99" i="26"/>
  <c r="Q99" i="26"/>
  <c r="P99" i="26"/>
  <c r="O99" i="26"/>
  <c r="N99" i="26"/>
  <c r="T98" i="26"/>
  <c r="S98" i="26"/>
  <c r="R98" i="26"/>
  <c r="Q98" i="26"/>
  <c r="P98" i="26"/>
  <c r="O98" i="26"/>
  <c r="N98" i="26"/>
  <c r="T97" i="26"/>
  <c r="S97" i="26"/>
  <c r="R97" i="26"/>
  <c r="Q97" i="26"/>
  <c r="P97" i="26"/>
  <c r="O97" i="26"/>
  <c r="N97" i="26"/>
  <c r="T96" i="26"/>
  <c r="S96" i="26"/>
  <c r="R96" i="26"/>
  <c r="Q96" i="26"/>
  <c r="P96" i="26"/>
  <c r="O96" i="26"/>
  <c r="N96" i="26"/>
  <c r="T95" i="26"/>
  <c r="S95" i="26"/>
  <c r="R95" i="26"/>
  <c r="Q95" i="26"/>
  <c r="P95" i="26"/>
  <c r="O95" i="26"/>
  <c r="N95" i="26"/>
  <c r="T94" i="26"/>
  <c r="S94" i="26"/>
  <c r="R94" i="26"/>
  <c r="Q94" i="26"/>
  <c r="P94" i="26"/>
  <c r="O94" i="26"/>
  <c r="N94" i="26"/>
  <c r="D14" i="26"/>
  <c r="D15" i="26"/>
  <c r="D16" i="26"/>
  <c r="D18" i="26"/>
  <c r="D19" i="26"/>
  <c r="D20" i="26"/>
  <c r="D21" i="26"/>
  <c r="D22" i="26"/>
  <c r="D23" i="26"/>
  <c r="D24" i="26"/>
  <c r="D25" i="26"/>
  <c r="D27" i="26"/>
  <c r="D28" i="26"/>
  <c r="D29" i="26"/>
  <c r="D30" i="26"/>
  <c r="D31" i="26"/>
  <c r="D32" i="26"/>
  <c r="D33" i="26"/>
  <c r="D34" i="26"/>
  <c r="D35" i="26"/>
  <c r="D36" i="26"/>
  <c r="D37" i="26"/>
  <c r="D38" i="26"/>
  <c r="D39" i="26"/>
  <c r="D40" i="26"/>
  <c r="D41" i="26"/>
  <c r="D42" i="26"/>
  <c r="D43" i="26"/>
  <c r="D44" i="26"/>
  <c r="D45" i="26"/>
  <c r="D46" i="26"/>
  <c r="D47" i="26"/>
  <c r="D48" i="26"/>
  <c r="D49" i="26"/>
  <c r="D50" i="26"/>
  <c r="D51" i="26"/>
  <c r="D52" i="26"/>
  <c r="D53" i="26"/>
  <c r="D54" i="26"/>
  <c r="D55" i="26"/>
  <c r="D56" i="26"/>
  <c r="D57" i="26"/>
  <c r="D58" i="26"/>
  <c r="D59" i="26"/>
  <c r="D60" i="26"/>
  <c r="D61" i="26"/>
  <c r="D62" i="26"/>
  <c r="D63" i="26"/>
  <c r="D64" i="26"/>
  <c r="D65" i="26"/>
  <c r="D66" i="26"/>
  <c r="D67" i="26"/>
  <c r="D68" i="26"/>
  <c r="D69" i="26"/>
  <c r="D70" i="26"/>
  <c r="D71" i="26"/>
  <c r="D72" i="26"/>
  <c r="D73" i="26"/>
  <c r="D74" i="26"/>
  <c r="D75" i="26"/>
  <c r="D76" i="26"/>
  <c r="D77" i="26"/>
  <c r="D78" i="26"/>
  <c r="D79" i="26"/>
  <c r="D80" i="26"/>
  <c r="D81" i="26"/>
  <c r="D82" i="26"/>
  <c r="D83" i="26"/>
  <c r="D84" i="26"/>
  <c r="D85" i="26"/>
  <c r="D86" i="26"/>
  <c r="D87" i="26"/>
  <c r="D88" i="26"/>
  <c r="D89" i="26"/>
  <c r="D90" i="26"/>
  <c r="D91" i="26"/>
  <c r="D92" i="26"/>
  <c r="D93" i="26"/>
  <c r="D94" i="26"/>
  <c r="D95" i="26"/>
  <c r="D96" i="26"/>
  <c r="D97" i="26"/>
  <c r="D98" i="26"/>
  <c r="D99" i="26"/>
  <c r="D100" i="26"/>
  <c r="D101" i="26"/>
  <c r="D102" i="26"/>
  <c r="D13" i="26"/>
  <c r="BK25" i="29"/>
  <c r="AY25" i="29"/>
  <c r="AM25" i="29"/>
  <c r="BM23" i="29"/>
  <c r="N23" i="29" s="1"/>
  <c r="BL23" i="29"/>
  <c r="BJ23" i="29"/>
  <c r="BI23" i="29"/>
  <c r="BD23" i="29"/>
  <c r="BC23" i="29"/>
  <c r="BB23" i="29"/>
  <c r="BA23" i="29"/>
  <c r="AZ23" i="29"/>
  <c r="AX23" i="29"/>
  <c r="AW23" i="29"/>
  <c r="AR23" i="29"/>
  <c r="AQ23" i="29"/>
  <c r="AP23" i="29"/>
  <c r="AO23" i="29"/>
  <c r="AN23" i="29"/>
  <c r="I23" i="29" s="1"/>
  <c r="AL23" i="29"/>
  <c r="AK23" i="29"/>
  <c r="AF23" i="29"/>
  <c r="AE23" i="29"/>
  <c r="AD23" i="29"/>
  <c r="AC23" i="29"/>
  <c r="AB23" i="29"/>
  <c r="Z23" i="29"/>
  <c r="Y23" i="29"/>
  <c r="K23" i="29"/>
  <c r="C23" i="29"/>
  <c r="AJ23" i="29" s="1"/>
  <c r="F25" i="29"/>
  <c r="E25" i="29"/>
  <c r="BJ25" i="29" s="1"/>
  <c r="D25" i="29"/>
  <c r="AL25" i="29" s="1"/>
  <c r="F24" i="29"/>
  <c r="E24" i="29"/>
  <c r="BC24" i="29" s="1"/>
  <c r="D24" i="29"/>
  <c r="AQ24" i="29" s="1"/>
  <c r="F23" i="29"/>
  <c r="E23" i="29"/>
  <c r="BH23" i="29" s="1"/>
  <c r="M23" i="29" s="1"/>
  <c r="D23" i="29"/>
  <c r="C24" i="29" s="1"/>
  <c r="K11" i="26"/>
  <c r="K46" i="26" s="1"/>
  <c r="AE24" i="29" l="1"/>
  <c r="AD24" i="29"/>
  <c r="Z24" i="29"/>
  <c r="AK24" i="29"/>
  <c r="L24" i="29"/>
  <c r="T24" i="29" s="1"/>
  <c r="S4" i="26" s="1"/>
  <c r="AJ24" i="29"/>
  <c r="AC24" i="29"/>
  <c r="J24" i="29"/>
  <c r="R24" i="29" s="1"/>
  <c r="Q4" i="26" s="1"/>
  <c r="AB24" i="29"/>
  <c r="AA24" i="29"/>
  <c r="Y24" i="29"/>
  <c r="AI24" i="29"/>
  <c r="G24" i="29" s="1"/>
  <c r="AH24" i="29"/>
  <c r="AG24" i="29"/>
  <c r="AF24" i="29"/>
  <c r="AS24" i="29"/>
  <c r="BE24" i="29"/>
  <c r="AN25" i="29"/>
  <c r="AZ25" i="29"/>
  <c r="BL25" i="29"/>
  <c r="L23" i="29"/>
  <c r="AA23" i="29"/>
  <c r="AM23" i="29"/>
  <c r="H23" i="29" s="1"/>
  <c r="AY23" i="29"/>
  <c r="BK23" i="29"/>
  <c r="AT24" i="29"/>
  <c r="BF24" i="29"/>
  <c r="AO25" i="29"/>
  <c r="BA25" i="29"/>
  <c r="BM25" i="29"/>
  <c r="BD24" i="29"/>
  <c r="BG24" i="29"/>
  <c r="BB25" i="29"/>
  <c r="BC25" i="29"/>
  <c r="AX24" i="29"/>
  <c r="K24" i="29" s="1"/>
  <c r="S24" i="29" s="1"/>
  <c r="R4" i="26" s="1"/>
  <c r="AS25" i="29"/>
  <c r="AM24" i="29"/>
  <c r="H24" i="29" s="1"/>
  <c r="P24" i="29" s="1"/>
  <c r="O4" i="26" s="1"/>
  <c r="AY24" i="29"/>
  <c r="BK24" i="29"/>
  <c r="AT25" i="29"/>
  <c r="BF25" i="29"/>
  <c r="AR24" i="29"/>
  <c r="AU24" i="29"/>
  <c r="AV24" i="29"/>
  <c r="AR25" i="29"/>
  <c r="C25" i="29"/>
  <c r="AG23" i="29"/>
  <c r="AS23" i="29"/>
  <c r="J23" i="29" s="1"/>
  <c r="BE23" i="29"/>
  <c r="AN24" i="29"/>
  <c r="I24" i="29" s="1"/>
  <c r="Q24" i="29" s="1"/>
  <c r="P4" i="26" s="1"/>
  <c r="AZ24" i="29"/>
  <c r="BL24" i="29"/>
  <c r="AU25" i="29"/>
  <c r="BG25" i="29"/>
  <c r="BH24" i="29"/>
  <c r="M24" i="29" s="1"/>
  <c r="AH23" i="29"/>
  <c r="AT23" i="29"/>
  <c r="BF23" i="29"/>
  <c r="AO24" i="29"/>
  <c r="BA24" i="29"/>
  <c r="BM24" i="29"/>
  <c r="N24" i="29" s="1"/>
  <c r="AV25" i="29"/>
  <c r="BH25" i="29"/>
  <c r="M25" i="29" s="1"/>
  <c r="BI24" i="29"/>
  <c r="BJ24" i="29"/>
  <c r="G23" i="29"/>
  <c r="AI23" i="29"/>
  <c r="AU23" i="29"/>
  <c r="BG23" i="29"/>
  <c r="AP24" i="29"/>
  <c r="BB24" i="29"/>
  <c r="AW25" i="29"/>
  <c r="BI25" i="29"/>
  <c r="AP25" i="29"/>
  <c r="AQ25" i="29"/>
  <c r="AW24" i="29"/>
  <c r="BD25" i="29"/>
  <c r="AL24" i="29"/>
  <c r="BE25" i="29"/>
  <c r="AV23" i="29"/>
  <c r="AX25" i="29"/>
  <c r="P35" i="27"/>
  <c r="P25" i="27"/>
  <c r="K28" i="26"/>
  <c r="K18" i="26"/>
  <c r="K72" i="26"/>
  <c r="K71" i="26"/>
  <c r="K70" i="26"/>
  <c r="K68" i="26"/>
  <c r="K74" i="26"/>
  <c r="K56" i="26"/>
  <c r="K75" i="26"/>
  <c r="K51" i="26"/>
  <c r="K73" i="26"/>
  <c r="K69" i="26"/>
  <c r="K41" i="26"/>
  <c r="K34" i="26"/>
  <c r="K50" i="26"/>
  <c r="K76" i="26"/>
  <c r="P23" i="29" l="1"/>
  <c r="U23" i="29"/>
  <c r="Q23" i="29"/>
  <c r="S23" i="29"/>
  <c r="O23" i="29"/>
  <c r="R23" i="29"/>
  <c r="J25" i="29"/>
  <c r="Z25" i="29"/>
  <c r="N25" i="29"/>
  <c r="AK25" i="29"/>
  <c r="Y25" i="29"/>
  <c r="K25" i="29"/>
  <c r="S25" i="29" s="1"/>
  <c r="AE25" i="29"/>
  <c r="AD25" i="29"/>
  <c r="AJ25" i="29"/>
  <c r="I25" i="29"/>
  <c r="AI25" i="29"/>
  <c r="G25" i="29" s="1"/>
  <c r="O25" i="29" s="1"/>
  <c r="H25" i="29"/>
  <c r="P25" i="29" s="1"/>
  <c r="AG25" i="29"/>
  <c r="AH25" i="29"/>
  <c r="AF25" i="29"/>
  <c r="AA25" i="29"/>
  <c r="AC25" i="29"/>
  <c r="AB25" i="29"/>
  <c r="L25" i="29"/>
  <c r="O24" i="29"/>
  <c r="N4" i="26" s="1"/>
  <c r="T23" i="29"/>
  <c r="U24" i="29"/>
  <c r="T4" i="26" s="1"/>
  <c r="Q50" i="26" a="1"/>
  <c r="Q50" i="26" s="1"/>
  <c r="P50" i="26" a="1"/>
  <c r="P50" i="26" s="1"/>
  <c r="O50" i="26" a="1"/>
  <c r="O50" i="26" s="1"/>
  <c r="N50" i="26" a="1"/>
  <c r="N50" i="26" s="1"/>
  <c r="R50" i="26" a="1"/>
  <c r="R50" i="26" s="1"/>
  <c r="T50" i="26" a="1"/>
  <c r="T50" i="26" s="1"/>
  <c r="S50" i="26" a="1"/>
  <c r="S50" i="26" s="1"/>
  <c r="T51" i="26" a="1"/>
  <c r="T51" i="26" s="1"/>
  <c r="P51" i="26" a="1"/>
  <c r="P51" i="26" s="1"/>
  <c r="O51" i="26" a="1"/>
  <c r="O51" i="26" s="1"/>
  <c r="S51" i="26" a="1"/>
  <c r="S51" i="26" s="1"/>
  <c r="R51" i="26" a="1"/>
  <c r="R51" i="26" s="1"/>
  <c r="Q51" i="26" a="1"/>
  <c r="Q51" i="26" s="1"/>
  <c r="N51" i="26" a="1"/>
  <c r="N51" i="26" s="1"/>
  <c r="U25" i="29" l="1"/>
  <c r="R25" i="29"/>
  <c r="Q25" i="29"/>
  <c r="T25" i="29"/>
  <c r="F19" i="29"/>
  <c r="E19" i="29"/>
  <c r="BH19" i="29" s="1"/>
  <c r="D19" i="29"/>
  <c r="V19" i="29" s="1"/>
  <c r="BD18" i="29"/>
  <c r="F18" i="29"/>
  <c r="BG18" i="29" s="1"/>
  <c r="E18" i="29"/>
  <c r="D18" i="29"/>
  <c r="AQ18" i="29" s="1"/>
  <c r="F17" i="29"/>
  <c r="E17" i="29"/>
  <c r="BM17" i="29" s="1"/>
  <c r="D17" i="29"/>
  <c r="AL17" i="29" s="1"/>
  <c r="F13" i="29"/>
  <c r="E13" i="29"/>
  <c r="BE13" i="29" s="1"/>
  <c r="D13" i="29"/>
  <c r="V13" i="29" s="1"/>
  <c r="F12" i="29"/>
  <c r="E12" i="29"/>
  <c r="BA12" i="29" s="1"/>
  <c r="D12" i="29"/>
  <c r="F11" i="29"/>
  <c r="E11" i="29"/>
  <c r="D11" i="29"/>
  <c r="C11" i="29" s="1"/>
  <c r="B5" i="29"/>
  <c r="A5" i="29"/>
  <c r="B4" i="29"/>
  <c r="A4" i="29"/>
  <c r="I27" i="26"/>
  <c r="BE18" i="29" l="1"/>
  <c r="AQ17" i="29"/>
  <c r="AV12" i="29"/>
  <c r="BH18" i="29"/>
  <c r="BK17" i="29"/>
  <c r="BE12" i="29"/>
  <c r="BL17" i="29"/>
  <c r="BB12" i="29"/>
  <c r="AU17" i="29"/>
  <c r="AR17" i="29"/>
  <c r="BD12" i="29"/>
  <c r="K11" i="29"/>
  <c r="AT17" i="29"/>
  <c r="C18" i="29"/>
  <c r="AE18" i="29" s="1"/>
  <c r="BC18" i="29"/>
  <c r="AN12" i="29"/>
  <c r="BL12" i="29"/>
  <c r="BA11" i="29"/>
  <c r="BC11" i="29"/>
  <c r="L11" i="29" s="1"/>
  <c r="T11" i="29" s="1"/>
  <c r="BH11" i="29"/>
  <c r="M11" i="29" s="1"/>
  <c r="U11" i="29" s="1"/>
  <c r="BL19" i="29"/>
  <c r="AR12" i="29"/>
  <c r="AS12" i="29"/>
  <c r="BJ17" i="29"/>
  <c r="X18" i="29"/>
  <c r="BK11" i="29"/>
  <c r="BL11" i="29"/>
  <c r="X12" i="29"/>
  <c r="BG11" i="29"/>
  <c r="AT12" i="29"/>
  <c r="AY18" i="29"/>
  <c r="BA17" i="29"/>
  <c r="BB17" i="29"/>
  <c r="W18" i="29"/>
  <c r="AM11" i="29"/>
  <c r="H11" i="29" s="1"/>
  <c r="P11" i="29" s="1"/>
  <c r="BF12" i="29"/>
  <c r="AM17" i="29"/>
  <c r="BC17" i="29"/>
  <c r="X19" i="29"/>
  <c r="X17" i="29"/>
  <c r="V17" i="29"/>
  <c r="AV11" i="29"/>
  <c r="V12" i="29"/>
  <c r="BH12" i="29"/>
  <c r="AN17" i="29"/>
  <c r="BD17" i="29"/>
  <c r="AR18" i="29"/>
  <c r="AN19" i="29"/>
  <c r="AY17" i="29"/>
  <c r="BK18" i="29"/>
  <c r="AY11" i="29"/>
  <c r="BM12" i="29"/>
  <c r="AO17" i="29"/>
  <c r="BF17" i="29"/>
  <c r="AU18" i="29"/>
  <c r="AO19" i="29"/>
  <c r="BM11" i="29"/>
  <c r="AZ17" i="29"/>
  <c r="X11" i="29"/>
  <c r="W17" i="29"/>
  <c r="AZ11" i="29"/>
  <c r="AO12" i="29"/>
  <c r="AS13" i="29"/>
  <c r="AP17" i="29"/>
  <c r="BG17" i="29"/>
  <c r="AV18" i="29"/>
  <c r="AZ19" i="29"/>
  <c r="AI11" i="29"/>
  <c r="G11" i="29" s="1"/>
  <c r="O11" i="29" s="1"/>
  <c r="AH11" i="29"/>
  <c r="AF11" i="29"/>
  <c r="AE11" i="29"/>
  <c r="AG11" i="29"/>
  <c r="N11" i="29"/>
  <c r="AB11" i="29"/>
  <c r="AA11" i="29"/>
  <c r="AD11" i="29"/>
  <c r="AC11" i="29"/>
  <c r="Z11" i="29"/>
  <c r="Y11" i="29"/>
  <c r="AK11" i="29"/>
  <c r="AJ11" i="29"/>
  <c r="AT13" i="29"/>
  <c r="AF18" i="29"/>
  <c r="AW19" i="29"/>
  <c r="BF13" i="29"/>
  <c r="M18" i="29"/>
  <c r="BI19" i="29"/>
  <c r="BI11" i="29"/>
  <c r="C13" i="29"/>
  <c r="W13" i="29"/>
  <c r="AU13" i="29"/>
  <c r="AG18" i="29"/>
  <c r="AL19" i="29"/>
  <c r="BJ19" i="29"/>
  <c r="AW11" i="29"/>
  <c r="AP12" i="29"/>
  <c r="BG13" i="29"/>
  <c r="AS18" i="29"/>
  <c r="J18" i="29" s="1"/>
  <c r="R18" i="29" s="1"/>
  <c r="Q3" i="26" s="1"/>
  <c r="AX19" i="29"/>
  <c r="AL11" i="29"/>
  <c r="AX11" i="29"/>
  <c r="BJ11" i="29"/>
  <c r="AQ12" i="29"/>
  <c r="BC12" i="29"/>
  <c r="X13" i="29"/>
  <c r="AV13" i="29"/>
  <c r="BH13" i="29"/>
  <c r="V18" i="29"/>
  <c r="AH18" i="29"/>
  <c r="AT18" i="29"/>
  <c r="BF18" i="29"/>
  <c r="AM19" i="29"/>
  <c r="AY19" i="29"/>
  <c r="BK19" i="29"/>
  <c r="AM13" i="29"/>
  <c r="AY13" i="29"/>
  <c r="BK13" i="29"/>
  <c r="Y18" i="29"/>
  <c r="AK18" i="29"/>
  <c r="AW18" i="29"/>
  <c r="BI18" i="29"/>
  <c r="AP19" i="29"/>
  <c r="BB19" i="29"/>
  <c r="AP11" i="29"/>
  <c r="BB11" i="29"/>
  <c r="C12" i="29"/>
  <c r="W12" i="29"/>
  <c r="AU12" i="29"/>
  <c r="BG12" i="29"/>
  <c r="AN13" i="29"/>
  <c r="AZ13" i="29"/>
  <c r="BL13" i="29"/>
  <c r="AS17" i="29"/>
  <c r="BE17" i="29"/>
  <c r="Z18" i="29"/>
  <c r="AL18" i="29"/>
  <c r="AX18" i="29"/>
  <c r="K18" i="29" s="1"/>
  <c r="S18" i="29" s="1"/>
  <c r="R3" i="26" s="1"/>
  <c r="BJ18" i="29"/>
  <c r="AQ19" i="29"/>
  <c r="BC19" i="29"/>
  <c r="BA13" i="29"/>
  <c r="AM18" i="29"/>
  <c r="H18" i="29" s="1"/>
  <c r="P18" i="29" s="1"/>
  <c r="O3" i="26" s="1"/>
  <c r="AR19" i="29"/>
  <c r="AW13" i="29"/>
  <c r="AI18" i="29"/>
  <c r="G18" i="29" s="1"/>
  <c r="AX13" i="29"/>
  <c r="AO13" i="29"/>
  <c r="AA18" i="29"/>
  <c r="BD11" i="29"/>
  <c r="AP13" i="29"/>
  <c r="AS19" i="29"/>
  <c r="AL13" i="29"/>
  <c r="BM19" i="29"/>
  <c r="AQ11" i="29"/>
  <c r="AW12" i="29"/>
  <c r="C17" i="29"/>
  <c r="AN18" i="29"/>
  <c r="I18" i="29" s="1"/>
  <c r="Q18" i="29" s="1"/>
  <c r="P3" i="26" s="1"/>
  <c r="BL18" i="29"/>
  <c r="BE19" i="29"/>
  <c r="AS11" i="29"/>
  <c r="BE11" i="29"/>
  <c r="AL12" i="29"/>
  <c r="AX12" i="29"/>
  <c r="BJ12" i="29"/>
  <c r="AQ13" i="29"/>
  <c r="BC13" i="29"/>
  <c r="AV17" i="29"/>
  <c r="BH17" i="29"/>
  <c r="AC18" i="29"/>
  <c r="AO18" i="29"/>
  <c r="BA18" i="29"/>
  <c r="BM18" i="29"/>
  <c r="N18" i="29" s="1"/>
  <c r="AT19" i="29"/>
  <c r="BF19" i="29"/>
  <c r="BI13" i="29"/>
  <c r="BA19" i="29"/>
  <c r="BD19" i="29"/>
  <c r="BI12" i="29"/>
  <c r="BB13" i="29"/>
  <c r="AZ18" i="29"/>
  <c r="V11" i="29"/>
  <c r="AT11" i="29"/>
  <c r="BF11" i="29"/>
  <c r="AM12" i="29"/>
  <c r="AY12" i="29"/>
  <c r="BK12" i="29"/>
  <c r="AR13" i="29"/>
  <c r="BD13" i="29"/>
  <c r="AW17" i="29"/>
  <c r="BI17" i="29"/>
  <c r="AD18" i="29"/>
  <c r="AP18" i="29"/>
  <c r="BB18" i="29"/>
  <c r="C19" i="29"/>
  <c r="W19" i="29"/>
  <c r="AU19" i="29"/>
  <c r="BG19" i="29"/>
  <c r="AN11" i="29"/>
  <c r="I11" i="29" s="1"/>
  <c r="BJ13" i="29"/>
  <c r="AJ18" i="29"/>
  <c r="AO11" i="29"/>
  <c r="BM13" i="29"/>
  <c r="AR11" i="29"/>
  <c r="AB18" i="29"/>
  <c r="W11" i="29"/>
  <c r="AU11" i="29"/>
  <c r="AZ12" i="29"/>
  <c r="AX17" i="29"/>
  <c r="L18" i="29"/>
  <c r="T18" i="29" s="1"/>
  <c r="S3" i="26" s="1"/>
  <c r="AV19" i="29"/>
  <c r="AC122" i="22"/>
  <c r="AC121" i="22"/>
  <c r="AC119" i="22"/>
  <c r="AC118" i="22"/>
  <c r="AC117" i="22"/>
  <c r="AC116" i="22"/>
  <c r="AC115" i="22"/>
  <c r="AC114" i="22"/>
  <c r="AC113" i="22"/>
  <c r="AC112" i="22"/>
  <c r="AC111" i="22"/>
  <c r="AC110" i="22"/>
  <c r="AC109" i="22"/>
  <c r="AC108" i="22"/>
  <c r="AC107" i="22"/>
  <c r="AC106" i="22"/>
  <c r="AC105" i="22"/>
  <c r="AC104" i="22"/>
  <c r="AC103" i="22"/>
  <c r="AC102" i="22"/>
  <c r="AC101" i="22"/>
  <c r="AC100" i="22"/>
  <c r="AC99" i="22"/>
  <c r="AC98" i="22"/>
  <c r="AC97" i="22"/>
  <c r="AC96" i="22"/>
  <c r="AC95" i="22"/>
  <c r="AC94" i="22"/>
  <c r="AC93" i="22"/>
  <c r="AC92" i="22"/>
  <c r="AC91" i="22"/>
  <c r="AC90" i="22"/>
  <c r="AC89" i="22"/>
  <c r="AC88" i="22"/>
  <c r="AC87" i="22"/>
  <c r="AC86" i="22"/>
  <c r="AC85" i="22"/>
  <c r="AC84" i="22"/>
  <c r="AC83" i="22"/>
  <c r="AC82" i="22"/>
  <c r="AC81" i="22"/>
  <c r="AC80" i="22"/>
  <c r="AC79" i="22"/>
  <c r="AC78" i="22"/>
  <c r="AC77" i="22"/>
  <c r="AC76" i="22"/>
  <c r="AC75" i="22"/>
  <c r="AC74" i="22"/>
  <c r="AC73" i="22"/>
  <c r="AC72" i="22"/>
  <c r="AC71" i="22"/>
  <c r="AC70" i="22"/>
  <c r="AC69" i="22"/>
  <c r="AC68" i="22"/>
  <c r="AC67" i="22"/>
  <c r="AC66" i="22"/>
  <c r="AC65" i="22"/>
  <c r="AC64" i="22"/>
  <c r="AC63" i="22"/>
  <c r="AC62" i="22"/>
  <c r="AC61" i="22"/>
  <c r="AC60" i="22"/>
  <c r="AC59" i="22"/>
  <c r="AC58" i="22"/>
  <c r="AC56" i="22"/>
  <c r="AC55" i="22"/>
  <c r="AC54" i="22"/>
  <c r="AC48" i="22"/>
  <c r="AC47" i="22"/>
  <c r="AC46" i="22"/>
  <c r="AC45" i="22"/>
  <c r="AC44" i="22"/>
  <c r="AC43" i="22"/>
  <c r="AC42" i="22"/>
  <c r="AC41" i="22"/>
  <c r="AC40" i="22"/>
  <c r="AC39" i="22"/>
  <c r="AC38" i="22"/>
  <c r="AC37" i="22"/>
  <c r="AC36" i="22"/>
  <c r="AC35" i="22"/>
  <c r="AC34" i="22"/>
  <c r="AC33" i="22"/>
  <c r="AC32" i="22"/>
  <c r="AC31" i="22"/>
  <c r="AC30" i="22"/>
  <c r="AC29" i="22"/>
  <c r="AC28" i="22"/>
  <c r="AC27" i="22"/>
  <c r="AC26" i="22"/>
  <c r="AC25" i="22"/>
  <c r="AC24" i="22"/>
  <c r="AC23" i="22"/>
  <c r="AC21" i="22"/>
  <c r="AC20" i="22"/>
  <c r="AC19" i="22"/>
  <c r="AC18" i="22"/>
  <c r="AC17" i="22"/>
  <c r="AC16" i="22"/>
  <c r="AC15" i="22"/>
  <c r="AC14" i="22"/>
  <c r="AC13" i="22"/>
  <c r="AC12" i="22"/>
  <c r="AC10" i="22"/>
  <c r="AC9" i="22"/>
  <c r="AC8" i="22"/>
  <c r="AC7" i="22"/>
  <c r="AC14" i="26"/>
  <c r="AC15" i="26"/>
  <c r="AC16" i="26"/>
  <c r="AC18" i="26"/>
  <c r="AC19" i="26"/>
  <c r="AC20" i="26"/>
  <c r="AC21" i="26"/>
  <c r="AC22" i="26"/>
  <c r="AC23" i="26"/>
  <c r="AC24" i="26"/>
  <c r="AC25" i="26"/>
  <c r="AC27" i="26"/>
  <c r="AC28" i="26"/>
  <c r="AC29" i="26"/>
  <c r="AC30" i="26"/>
  <c r="AC31" i="26"/>
  <c r="AC32" i="26"/>
  <c r="AC33" i="26"/>
  <c r="AC34" i="26"/>
  <c r="AC35" i="26"/>
  <c r="AC36" i="26"/>
  <c r="AC37" i="26"/>
  <c r="AC38" i="26"/>
  <c r="AC39" i="26"/>
  <c r="AC40" i="26"/>
  <c r="AC41" i="26"/>
  <c r="AC42" i="26"/>
  <c r="AC43" i="26"/>
  <c r="AC44" i="26"/>
  <c r="AC45" i="26"/>
  <c r="AC46" i="26"/>
  <c r="AC47" i="26"/>
  <c r="AC48" i="26"/>
  <c r="AC49" i="26"/>
  <c r="AC50" i="26"/>
  <c r="AC51" i="26"/>
  <c r="AC52" i="26"/>
  <c r="AC53" i="26"/>
  <c r="AC54" i="26"/>
  <c r="AC55" i="26"/>
  <c r="AC56" i="26"/>
  <c r="AC57" i="26"/>
  <c r="AC58" i="26"/>
  <c r="AC59" i="26"/>
  <c r="AC60" i="26"/>
  <c r="AC61" i="26"/>
  <c r="AC62" i="26"/>
  <c r="AC63" i="26"/>
  <c r="AC64" i="26"/>
  <c r="AC65" i="26"/>
  <c r="AC66" i="26"/>
  <c r="AC67" i="26"/>
  <c r="AC68" i="26"/>
  <c r="AC69" i="26"/>
  <c r="AC70" i="26"/>
  <c r="AC71" i="26"/>
  <c r="AC72" i="26"/>
  <c r="AC73" i="26"/>
  <c r="AC74" i="26"/>
  <c r="AC75" i="26"/>
  <c r="AC76" i="26"/>
  <c r="AC77" i="26"/>
  <c r="AC78" i="26"/>
  <c r="AC79" i="26"/>
  <c r="AC80" i="26"/>
  <c r="AC81" i="26"/>
  <c r="AC82" i="26"/>
  <c r="AC83" i="26"/>
  <c r="AC84" i="26"/>
  <c r="AC85" i="26"/>
  <c r="AC86" i="26"/>
  <c r="AC87" i="26"/>
  <c r="AC88" i="26"/>
  <c r="AC89" i="26"/>
  <c r="AC90" i="26"/>
  <c r="AC91" i="26"/>
  <c r="AC92" i="26"/>
  <c r="AC93" i="26"/>
  <c r="AC94" i="26"/>
  <c r="AC95" i="26"/>
  <c r="AC96" i="26"/>
  <c r="AC97" i="26"/>
  <c r="AC98" i="26"/>
  <c r="AC99" i="26"/>
  <c r="AC100" i="26"/>
  <c r="AC101" i="26"/>
  <c r="AC102" i="26"/>
  <c r="AC13" i="26"/>
  <c r="V22" i="27"/>
  <c r="U22" i="27"/>
  <c r="T22" i="27"/>
  <c r="S22" i="27"/>
  <c r="R22" i="27"/>
  <c r="Q22" i="27"/>
  <c r="V21" i="27"/>
  <c r="U21" i="27"/>
  <c r="T21" i="27"/>
  <c r="S21" i="27"/>
  <c r="R21" i="27"/>
  <c r="Q21" i="27"/>
  <c r="O21" i="27" s="1"/>
  <c r="V20" i="27"/>
  <c r="V35" i="27" s="1"/>
  <c r="U20" i="27"/>
  <c r="U35" i="27" s="1"/>
  <c r="T20" i="27"/>
  <c r="T35" i="27" s="1"/>
  <c r="S20" i="27"/>
  <c r="S35" i="27" s="1"/>
  <c r="R20" i="27"/>
  <c r="R35" i="27" s="1"/>
  <c r="Q20" i="27"/>
  <c r="Q35" i="27" s="1"/>
  <c r="O20" i="27"/>
  <c r="O35" i="27" s="1"/>
  <c r="V19" i="27"/>
  <c r="U19" i="27"/>
  <c r="T19" i="27"/>
  <c r="S19" i="27"/>
  <c r="R19" i="27"/>
  <c r="Q19" i="27"/>
  <c r="O19" i="27" s="1"/>
  <c r="V17" i="27"/>
  <c r="U17" i="27"/>
  <c r="T17" i="27"/>
  <c r="S17" i="27"/>
  <c r="R17" i="27"/>
  <c r="Q17" i="27"/>
  <c r="V16" i="27"/>
  <c r="U16" i="27"/>
  <c r="T16" i="27"/>
  <c r="S16" i="27"/>
  <c r="R16" i="27"/>
  <c r="Q16" i="27"/>
  <c r="V15" i="27"/>
  <c r="V30" i="27" s="1"/>
  <c r="U15" i="27"/>
  <c r="U30" i="27" s="1"/>
  <c r="T15" i="27"/>
  <c r="T30" i="27" s="1"/>
  <c r="S15" i="27"/>
  <c r="S30" i="27" s="1"/>
  <c r="R15" i="27"/>
  <c r="R30" i="27" s="1"/>
  <c r="Q15" i="27"/>
  <c r="Q30" i="27" s="1"/>
  <c r="O15" i="27"/>
  <c r="O30" i="27" s="1"/>
  <c r="V14" i="27"/>
  <c r="U14" i="27"/>
  <c r="T14" i="27"/>
  <c r="S14" i="27"/>
  <c r="R14" i="27"/>
  <c r="Q14" i="27"/>
  <c r="V12" i="27"/>
  <c r="U12" i="27"/>
  <c r="T12" i="27"/>
  <c r="S12" i="27"/>
  <c r="R12" i="27"/>
  <c r="Q12" i="27"/>
  <c r="V11" i="27"/>
  <c r="U11" i="27"/>
  <c r="T11" i="27"/>
  <c r="S11" i="27"/>
  <c r="R11" i="27"/>
  <c r="Q11" i="27"/>
  <c r="V10" i="27"/>
  <c r="V25" i="27" s="1"/>
  <c r="U42" i="27" s="1"/>
  <c r="T9" i="26" s="1"/>
  <c r="U10" i="27"/>
  <c r="U25" i="27" s="1"/>
  <c r="T10" i="27"/>
  <c r="T25" i="27" s="1"/>
  <c r="S10" i="27"/>
  <c r="S25" i="27" s="1"/>
  <c r="R10" i="27"/>
  <c r="R25" i="27" s="1"/>
  <c r="Q10" i="27"/>
  <c r="Q25" i="27" s="1"/>
  <c r="O10" i="27"/>
  <c r="O25" i="27" s="1"/>
  <c r="O42" i="27" s="1"/>
  <c r="N9" i="26" s="1"/>
  <c r="V9" i="27"/>
  <c r="U9" i="27"/>
  <c r="T9" i="27"/>
  <c r="S9" i="27"/>
  <c r="R9" i="27"/>
  <c r="Q9" i="27"/>
  <c r="AH31" i="24"/>
  <c r="AM26" i="24"/>
  <c r="AC104" i="24"/>
  <c r="AA104" i="24"/>
  <c r="Y104" i="24"/>
  <c r="W104" i="24"/>
  <c r="V104" i="24"/>
  <c r="AC103" i="24"/>
  <c r="AA103" i="24"/>
  <c r="Y103" i="24"/>
  <c r="W103" i="24"/>
  <c r="V103" i="24"/>
  <c r="AC102" i="24"/>
  <c r="AA102" i="24"/>
  <c r="Y102" i="24"/>
  <c r="W102" i="24"/>
  <c r="AD102" i="24" s="1"/>
  <c r="AI102" i="24" s="1"/>
  <c r="V102" i="24"/>
  <c r="AC101" i="24"/>
  <c r="AA101" i="24"/>
  <c r="Y101" i="24"/>
  <c r="W101" i="24"/>
  <c r="V101" i="24"/>
  <c r="AC100" i="24"/>
  <c r="AA100" i="24"/>
  <c r="Y100" i="24"/>
  <c r="W100" i="24"/>
  <c r="V100" i="24"/>
  <c r="AC99" i="24"/>
  <c r="AA99" i="24"/>
  <c r="Y99" i="24"/>
  <c r="W99" i="24"/>
  <c r="V99" i="24"/>
  <c r="AC98" i="24"/>
  <c r="AA98" i="24"/>
  <c r="Y98" i="24"/>
  <c r="W98" i="24"/>
  <c r="V98" i="24"/>
  <c r="AC97" i="24"/>
  <c r="AA97" i="24"/>
  <c r="Y97" i="24"/>
  <c r="W97" i="24"/>
  <c r="V97" i="24"/>
  <c r="AC92" i="24"/>
  <c r="AA92" i="24"/>
  <c r="Y92" i="24"/>
  <c r="W92" i="24"/>
  <c r="V92" i="24"/>
  <c r="AC91" i="24"/>
  <c r="AA91" i="24"/>
  <c r="Y91" i="24"/>
  <c r="W91" i="24"/>
  <c r="V91" i="24"/>
  <c r="AC90" i="24"/>
  <c r="AA90" i="24"/>
  <c r="Y90" i="24"/>
  <c r="W90" i="24"/>
  <c r="V90" i="24"/>
  <c r="AC88" i="24"/>
  <c r="AA88" i="24"/>
  <c r="Y88" i="24"/>
  <c r="W88" i="24"/>
  <c r="V88" i="24"/>
  <c r="AC87" i="24"/>
  <c r="AA87" i="24"/>
  <c r="Y87" i="24"/>
  <c r="W87" i="24"/>
  <c r="V87" i="24"/>
  <c r="AC86" i="24"/>
  <c r="AA86" i="24"/>
  <c r="Y86" i="24"/>
  <c r="W86" i="24"/>
  <c r="V86" i="24"/>
  <c r="AC85" i="24"/>
  <c r="AA85" i="24"/>
  <c r="Y85" i="24"/>
  <c r="W85" i="24"/>
  <c r="AD85" i="24" s="1"/>
  <c r="AI85" i="24" s="1"/>
  <c r="V85" i="24"/>
  <c r="AC80" i="24"/>
  <c r="AA80" i="24"/>
  <c r="Y80" i="24"/>
  <c r="W80" i="24"/>
  <c r="V80" i="24"/>
  <c r="AC79" i="24"/>
  <c r="AA79" i="24"/>
  <c r="Y79" i="24"/>
  <c r="W79" i="24"/>
  <c r="V79" i="24"/>
  <c r="AC78" i="24"/>
  <c r="AA78" i="24"/>
  <c r="Y78" i="24"/>
  <c r="W78" i="24"/>
  <c r="V78" i="24"/>
  <c r="AC76" i="24"/>
  <c r="AA76" i="24"/>
  <c r="Y76" i="24"/>
  <c r="W76" i="24"/>
  <c r="V76" i="24"/>
  <c r="AC75" i="24"/>
  <c r="AA75" i="24"/>
  <c r="Y75" i="24"/>
  <c r="W75" i="24"/>
  <c r="V75" i="24"/>
  <c r="AC74" i="24"/>
  <c r="AA74" i="24"/>
  <c r="Y74" i="24"/>
  <c r="W74" i="24"/>
  <c r="V74" i="24"/>
  <c r="AC73" i="24"/>
  <c r="AA73" i="24"/>
  <c r="Y73" i="24"/>
  <c r="W73" i="24"/>
  <c r="V73" i="24"/>
  <c r="AC68" i="24"/>
  <c r="AA68" i="24"/>
  <c r="Y68" i="24"/>
  <c r="W68" i="24"/>
  <c r="V68" i="24"/>
  <c r="AC67" i="24"/>
  <c r="AA67" i="24"/>
  <c r="Y67" i="24"/>
  <c r="W67" i="24"/>
  <c r="V67" i="24"/>
  <c r="AC66" i="24"/>
  <c r="AA66" i="24"/>
  <c r="Y66" i="24"/>
  <c r="W66" i="24"/>
  <c r="V66" i="24"/>
  <c r="AC64" i="24"/>
  <c r="AA64" i="24"/>
  <c r="Y64" i="24"/>
  <c r="W64" i="24"/>
  <c r="V64" i="24"/>
  <c r="AC63" i="24"/>
  <c r="AA63" i="24"/>
  <c r="Y63" i="24"/>
  <c r="W63" i="24"/>
  <c r="AD63" i="24" s="1"/>
  <c r="AI63" i="24" s="1"/>
  <c r="V63" i="24"/>
  <c r="AC62" i="24"/>
  <c r="AA62" i="24"/>
  <c r="Y62" i="24"/>
  <c r="W62" i="24"/>
  <c r="V62" i="24"/>
  <c r="AC61" i="24"/>
  <c r="AA61" i="24"/>
  <c r="Y61" i="24"/>
  <c r="W61" i="24"/>
  <c r="V61" i="24"/>
  <c r="AC56" i="24"/>
  <c r="AA56" i="24"/>
  <c r="Y56" i="24"/>
  <c r="W56" i="24"/>
  <c r="V56" i="24"/>
  <c r="AC55" i="24"/>
  <c r="AA55" i="24"/>
  <c r="Y55" i="24"/>
  <c r="W55" i="24"/>
  <c r="V55" i="24"/>
  <c r="AC54" i="24"/>
  <c r="AA54" i="24"/>
  <c r="Y54" i="24"/>
  <c r="W54" i="24"/>
  <c r="V54" i="24"/>
  <c r="AC53" i="24"/>
  <c r="AA53" i="24"/>
  <c r="Y53" i="24"/>
  <c r="W53" i="24"/>
  <c r="V53" i="24"/>
  <c r="AC52" i="24"/>
  <c r="AA52" i="24"/>
  <c r="Y52" i="24"/>
  <c r="W52" i="24"/>
  <c r="V52" i="24"/>
  <c r="AC51" i="24"/>
  <c r="AA51" i="24"/>
  <c r="Y51" i="24"/>
  <c r="W51" i="24"/>
  <c r="V51" i="24"/>
  <c r="AC50" i="24"/>
  <c r="AA50" i="24"/>
  <c r="Y50" i="24"/>
  <c r="W50" i="24"/>
  <c r="V50" i="24"/>
  <c r="AC48" i="24"/>
  <c r="AA48" i="24"/>
  <c r="Y48" i="24"/>
  <c r="W48" i="24"/>
  <c r="V48" i="24"/>
  <c r="AC43" i="24"/>
  <c r="AA43" i="24"/>
  <c r="Y43" i="24"/>
  <c r="W43" i="24"/>
  <c r="V43" i="24"/>
  <c r="AC42" i="24"/>
  <c r="AA42" i="24"/>
  <c r="Y42" i="24"/>
  <c r="W42" i="24"/>
  <c r="V42" i="24"/>
  <c r="AC41" i="24"/>
  <c r="AA41" i="24"/>
  <c r="Y41" i="24"/>
  <c r="W41" i="24"/>
  <c r="V41" i="24"/>
  <c r="AC40" i="24"/>
  <c r="AA40" i="24"/>
  <c r="Y40" i="24"/>
  <c r="W40" i="24"/>
  <c r="V40" i="24"/>
  <c r="AC39" i="24"/>
  <c r="AA39" i="24"/>
  <c r="Y39" i="24"/>
  <c r="W39" i="24"/>
  <c r="V39" i="24"/>
  <c r="AC38" i="24"/>
  <c r="AA38" i="24"/>
  <c r="Y38" i="24"/>
  <c r="W38" i="24"/>
  <c r="V38" i="24"/>
  <c r="AC37" i="24"/>
  <c r="AA37" i="24"/>
  <c r="Y37" i="24"/>
  <c r="W37" i="24"/>
  <c r="V37" i="24"/>
  <c r="AC36" i="24"/>
  <c r="AA36" i="24"/>
  <c r="Y36" i="24"/>
  <c r="W36" i="24"/>
  <c r="V36" i="24"/>
  <c r="AC35" i="24"/>
  <c r="AA35" i="24"/>
  <c r="Y35" i="24"/>
  <c r="W35" i="24"/>
  <c r="V35" i="24"/>
  <c r="AC34" i="24"/>
  <c r="AA34" i="24"/>
  <c r="Y34" i="24"/>
  <c r="W34" i="24"/>
  <c r="V34" i="24"/>
  <c r="AC33" i="24"/>
  <c r="AA33" i="24"/>
  <c r="Y33" i="24"/>
  <c r="W33" i="24"/>
  <c r="V33" i="24"/>
  <c r="AC32" i="24"/>
  <c r="AA32" i="24"/>
  <c r="Y32" i="24"/>
  <c r="W32" i="24"/>
  <c r="V32" i="24"/>
  <c r="AC31" i="24"/>
  <c r="AA31" i="24"/>
  <c r="Y31" i="24"/>
  <c r="W31" i="24"/>
  <c r="AD31" i="24" s="1"/>
  <c r="AI31" i="24" s="1"/>
  <c r="V31" i="24"/>
  <c r="AC26" i="24"/>
  <c r="AA26" i="24"/>
  <c r="Y26" i="24"/>
  <c r="W26" i="24"/>
  <c r="AD26" i="24" s="1"/>
  <c r="V26" i="24"/>
  <c r="AC25" i="24"/>
  <c r="AA25" i="24"/>
  <c r="Y25" i="24"/>
  <c r="W25" i="24"/>
  <c r="V25" i="24"/>
  <c r="AC24" i="24"/>
  <c r="AA24" i="24"/>
  <c r="Y24" i="24"/>
  <c r="W24" i="24"/>
  <c r="V24" i="24"/>
  <c r="AC23" i="24"/>
  <c r="AA23" i="24"/>
  <c r="Y23" i="24"/>
  <c r="W23" i="24"/>
  <c r="V23" i="24"/>
  <c r="AC18" i="24"/>
  <c r="AA18" i="24"/>
  <c r="Y18" i="24"/>
  <c r="W18" i="24"/>
  <c r="V18" i="24"/>
  <c r="AC17" i="24"/>
  <c r="AA17" i="24"/>
  <c r="Y17" i="24"/>
  <c r="W17" i="24"/>
  <c r="V17" i="24"/>
  <c r="AC16" i="24"/>
  <c r="AA16" i="24"/>
  <c r="Y16" i="24"/>
  <c r="W16" i="24"/>
  <c r="V16" i="24"/>
  <c r="AC15" i="24"/>
  <c r="AA15" i="24"/>
  <c r="Y15" i="24"/>
  <c r="W15" i="24"/>
  <c r="V15" i="24"/>
  <c r="AC14" i="24"/>
  <c r="AA14" i="24"/>
  <c r="Y14" i="24"/>
  <c r="W14" i="24"/>
  <c r="V14" i="24"/>
  <c r="AC13" i="24"/>
  <c r="AA13" i="24"/>
  <c r="Y13" i="24"/>
  <c r="W13" i="24"/>
  <c r="V13" i="24"/>
  <c r="AC12" i="24"/>
  <c r="AA12" i="24"/>
  <c r="Y12" i="24"/>
  <c r="W12" i="24"/>
  <c r="V12" i="24"/>
  <c r="AC11" i="24"/>
  <c r="AA11" i="24"/>
  <c r="Y11" i="24"/>
  <c r="W11" i="24"/>
  <c r="V11" i="24"/>
  <c r="AC10" i="24"/>
  <c r="AA10" i="24"/>
  <c r="Y10" i="24"/>
  <c r="W10" i="24"/>
  <c r="V10" i="24"/>
  <c r="AC9" i="24"/>
  <c r="AA9" i="24"/>
  <c r="Y9" i="24"/>
  <c r="W9" i="24"/>
  <c r="V9" i="24"/>
  <c r="AC8" i="24"/>
  <c r="AA8" i="24"/>
  <c r="Y8" i="24"/>
  <c r="W8" i="24"/>
  <c r="V8" i="24"/>
  <c r="AC7" i="24"/>
  <c r="AA7" i="24"/>
  <c r="Y7" i="24"/>
  <c r="W7" i="24"/>
  <c r="V7" i="24"/>
  <c r="AC6" i="24"/>
  <c r="AA6" i="24"/>
  <c r="Y6" i="24"/>
  <c r="W6" i="24"/>
  <c r="V6" i="24"/>
  <c r="I29" i="26"/>
  <c r="J29" i="26" s="1"/>
  <c r="I65" i="26"/>
  <c r="I57" i="26"/>
  <c r="J57" i="26" s="1"/>
  <c r="K57" i="26" s="1"/>
  <c r="I45" i="26"/>
  <c r="J45" i="26" s="1"/>
  <c r="K45" i="26" s="1"/>
  <c r="I44" i="26"/>
  <c r="J44" i="26" s="1"/>
  <c r="K44" i="26" s="1"/>
  <c r="I33" i="26"/>
  <c r="J33" i="26" s="1"/>
  <c r="J32" i="26"/>
  <c r="K32" i="26" s="1"/>
  <c r="J31" i="26"/>
  <c r="J10" i="26"/>
  <c r="J9" i="26"/>
  <c r="B102" i="26"/>
  <c r="B101" i="26"/>
  <c r="B100" i="26"/>
  <c r="B99" i="26"/>
  <c r="B98" i="26"/>
  <c r="B97" i="26"/>
  <c r="B96" i="26"/>
  <c r="B95" i="26"/>
  <c r="B94" i="26"/>
  <c r="B93" i="26"/>
  <c r="B92" i="26"/>
  <c r="B91" i="26"/>
  <c r="B90" i="26"/>
  <c r="B89" i="26"/>
  <c r="B88" i="26"/>
  <c r="B87" i="26"/>
  <c r="B86" i="26"/>
  <c r="B85" i="26"/>
  <c r="B84" i="26"/>
  <c r="B83" i="26"/>
  <c r="B82" i="26"/>
  <c r="B81" i="26"/>
  <c r="B80" i="26"/>
  <c r="B79" i="26"/>
  <c r="B78" i="26"/>
  <c r="B77" i="26"/>
  <c r="B76" i="26"/>
  <c r="B75" i="26"/>
  <c r="B74" i="26"/>
  <c r="B73" i="26"/>
  <c r="B72" i="26"/>
  <c r="B71" i="26"/>
  <c r="B70" i="26"/>
  <c r="B69" i="26"/>
  <c r="B68" i="26"/>
  <c r="B67" i="26"/>
  <c r="B66" i="26"/>
  <c r="B65" i="26"/>
  <c r="B64" i="26"/>
  <c r="B63" i="26"/>
  <c r="B62" i="26"/>
  <c r="B61" i="26"/>
  <c r="B60" i="26"/>
  <c r="B59" i="26"/>
  <c r="B58" i="26"/>
  <c r="B57" i="26"/>
  <c r="B56" i="26"/>
  <c r="B55" i="26"/>
  <c r="B54" i="26"/>
  <c r="B53" i="26"/>
  <c r="B52" i="26"/>
  <c r="B51" i="26"/>
  <c r="B50" i="26"/>
  <c r="B49" i="26"/>
  <c r="B48" i="26"/>
  <c r="B47" i="26"/>
  <c r="B46" i="26"/>
  <c r="B45" i="26"/>
  <c r="B44" i="26"/>
  <c r="B43" i="26"/>
  <c r="B42" i="26"/>
  <c r="B41" i="26"/>
  <c r="B40" i="26"/>
  <c r="B39" i="26"/>
  <c r="B38" i="26"/>
  <c r="B37" i="26"/>
  <c r="B36" i="26"/>
  <c r="B35" i="26"/>
  <c r="B34" i="26"/>
  <c r="B33" i="26"/>
  <c r="B32" i="26"/>
  <c r="B31" i="26"/>
  <c r="B30" i="26"/>
  <c r="B29" i="26"/>
  <c r="B28" i="26"/>
  <c r="B27" i="26"/>
  <c r="B25" i="26"/>
  <c r="B24" i="26"/>
  <c r="B23" i="26"/>
  <c r="B22" i="26"/>
  <c r="B21" i="26"/>
  <c r="B20" i="26"/>
  <c r="B19" i="26"/>
  <c r="B18" i="26"/>
  <c r="B16" i="26"/>
  <c r="B15" i="26"/>
  <c r="B14" i="26"/>
  <c r="B13" i="26"/>
  <c r="C95" i="25"/>
  <c r="B95" i="25"/>
  <c r="B95" i="23"/>
  <c r="C94" i="25"/>
  <c r="C93" i="25"/>
  <c r="C92" i="25"/>
  <c r="C91" i="25"/>
  <c r="C90" i="25"/>
  <c r="C89" i="25"/>
  <c r="C88" i="25"/>
  <c r="B94" i="25"/>
  <c r="B93" i="25"/>
  <c r="B92" i="25"/>
  <c r="B91" i="25"/>
  <c r="B90" i="25"/>
  <c r="B89" i="25"/>
  <c r="B88" i="25"/>
  <c r="B87" i="25"/>
  <c r="B86" i="25"/>
  <c r="B85" i="25"/>
  <c r="B84" i="25"/>
  <c r="B83" i="25"/>
  <c r="B82" i="25"/>
  <c r="B81" i="25"/>
  <c r="B80" i="25"/>
  <c r="B79" i="25"/>
  <c r="B78" i="25"/>
  <c r="B77" i="25"/>
  <c r="B76" i="25"/>
  <c r="B75" i="25"/>
  <c r="B74" i="25"/>
  <c r="B73" i="25"/>
  <c r="B72" i="25"/>
  <c r="B71" i="25"/>
  <c r="B70" i="25"/>
  <c r="B69" i="25"/>
  <c r="B68" i="25"/>
  <c r="B67" i="25"/>
  <c r="B66" i="25"/>
  <c r="B65" i="25"/>
  <c r="B64" i="25"/>
  <c r="B63" i="25"/>
  <c r="B62" i="25"/>
  <c r="B61" i="25"/>
  <c r="B60" i="25"/>
  <c r="B59" i="25"/>
  <c r="B58" i="25"/>
  <c r="B57" i="25"/>
  <c r="B56" i="25"/>
  <c r="B55" i="25"/>
  <c r="B54" i="25"/>
  <c r="B53" i="25"/>
  <c r="B52" i="25"/>
  <c r="B51" i="25"/>
  <c r="B50" i="25"/>
  <c r="B49" i="25"/>
  <c r="B48" i="25"/>
  <c r="B47" i="25"/>
  <c r="B46" i="25"/>
  <c r="B45" i="25"/>
  <c r="B44" i="25"/>
  <c r="B43" i="25"/>
  <c r="B42" i="25"/>
  <c r="B41" i="25"/>
  <c r="B40" i="25"/>
  <c r="B39" i="25"/>
  <c r="B38" i="25"/>
  <c r="B37" i="25"/>
  <c r="B36" i="25"/>
  <c r="B35" i="25"/>
  <c r="B34" i="25"/>
  <c r="B33" i="25"/>
  <c r="B32" i="25"/>
  <c r="B31" i="25"/>
  <c r="B30" i="25"/>
  <c r="B29" i="25"/>
  <c r="B28" i="25"/>
  <c r="B27" i="25"/>
  <c r="B26" i="25"/>
  <c r="B25" i="25"/>
  <c r="B24" i="25"/>
  <c r="B23" i="25"/>
  <c r="B22" i="25"/>
  <c r="B21" i="25"/>
  <c r="B20" i="25"/>
  <c r="B18" i="25"/>
  <c r="B17" i="25"/>
  <c r="B16" i="25"/>
  <c r="B15" i="25"/>
  <c r="B14" i="25"/>
  <c r="B13" i="25"/>
  <c r="B12" i="25"/>
  <c r="B11" i="25"/>
  <c r="B9" i="25"/>
  <c r="B8" i="25"/>
  <c r="B7" i="25"/>
  <c r="B6" i="25"/>
  <c r="E51" i="23"/>
  <c r="J51" i="23" s="1"/>
  <c r="E18" i="23"/>
  <c r="K12" i="23"/>
  <c r="U104" i="24"/>
  <c r="S104" i="24"/>
  <c r="Q104" i="24"/>
  <c r="O104" i="24"/>
  <c r="N104" i="24"/>
  <c r="L104" i="24"/>
  <c r="AB104" i="24" s="1"/>
  <c r="J104" i="24"/>
  <c r="Z104" i="24" s="1"/>
  <c r="H104" i="24"/>
  <c r="P104" i="24" s="1"/>
  <c r="U103" i="24"/>
  <c r="S103" i="24"/>
  <c r="Q103" i="24"/>
  <c r="O103" i="24"/>
  <c r="N103" i="24"/>
  <c r="L103" i="24"/>
  <c r="T103" i="24" s="1"/>
  <c r="J103" i="24"/>
  <c r="R103" i="24" s="1"/>
  <c r="H103" i="24"/>
  <c r="X103" i="24" s="1"/>
  <c r="N102" i="24"/>
  <c r="L102" i="24"/>
  <c r="AB102" i="24" s="1"/>
  <c r="J102" i="24"/>
  <c r="Z102" i="24" s="1"/>
  <c r="H102" i="24"/>
  <c r="X102" i="24" s="1"/>
  <c r="U101" i="24"/>
  <c r="S101" i="24"/>
  <c r="Q101" i="24"/>
  <c r="O101" i="24"/>
  <c r="N101" i="24"/>
  <c r="L101" i="24"/>
  <c r="AB101" i="24" s="1"/>
  <c r="J101" i="24"/>
  <c r="Z101" i="24" s="1"/>
  <c r="H101" i="24"/>
  <c r="X101" i="24" s="1"/>
  <c r="U100" i="24"/>
  <c r="S100" i="24"/>
  <c r="Q100" i="24"/>
  <c r="O100" i="24"/>
  <c r="N100" i="24"/>
  <c r="L100" i="24"/>
  <c r="AB100" i="24" s="1"/>
  <c r="J100" i="24"/>
  <c r="Z100" i="24" s="1"/>
  <c r="H100" i="24"/>
  <c r="P100" i="24" s="1"/>
  <c r="U99" i="24"/>
  <c r="S99" i="24"/>
  <c r="Q99" i="24"/>
  <c r="O99" i="24"/>
  <c r="N99" i="24"/>
  <c r="L99" i="24"/>
  <c r="AB99" i="24" s="1"/>
  <c r="J99" i="24"/>
  <c r="R99" i="24" s="1"/>
  <c r="H99" i="24"/>
  <c r="X99" i="24" s="1"/>
  <c r="U98" i="24"/>
  <c r="S98" i="24"/>
  <c r="Q98" i="24"/>
  <c r="O98" i="24"/>
  <c r="N98" i="24"/>
  <c r="L98" i="24"/>
  <c r="AB98" i="24" s="1"/>
  <c r="J98" i="24"/>
  <c r="Z98" i="24" s="1"/>
  <c r="H98" i="24"/>
  <c r="X98" i="24" s="1"/>
  <c r="U97" i="24"/>
  <c r="S97" i="24"/>
  <c r="Q97" i="24"/>
  <c r="O97" i="24"/>
  <c r="N97" i="24"/>
  <c r="L97" i="24"/>
  <c r="T97" i="24" s="1"/>
  <c r="J97" i="24"/>
  <c r="R97" i="24" s="1"/>
  <c r="H97" i="24"/>
  <c r="P97" i="24" s="1"/>
  <c r="U95" i="24"/>
  <c r="T95" i="24"/>
  <c r="S95" i="24"/>
  <c r="R95" i="24"/>
  <c r="Q95" i="24"/>
  <c r="P95" i="24"/>
  <c r="O95" i="24"/>
  <c r="N95" i="24"/>
  <c r="D95" i="24"/>
  <c r="D96" i="24" s="1"/>
  <c r="D97" i="24" s="1"/>
  <c r="D98" i="24" s="1"/>
  <c r="D99" i="24" s="1"/>
  <c r="D100" i="24" s="1"/>
  <c r="D101" i="24" s="1"/>
  <c r="D102" i="24" s="1"/>
  <c r="D103" i="24" s="1"/>
  <c r="D104" i="24" s="1"/>
  <c r="U92" i="24"/>
  <c r="S92" i="24"/>
  <c r="Q92" i="24"/>
  <c r="O92" i="24"/>
  <c r="N92" i="24"/>
  <c r="L92" i="24"/>
  <c r="T92" i="24" s="1"/>
  <c r="J92" i="24"/>
  <c r="R92" i="24" s="1"/>
  <c r="H92" i="24"/>
  <c r="X92" i="24" s="1"/>
  <c r="U91" i="24"/>
  <c r="S91" i="24"/>
  <c r="Q91" i="24"/>
  <c r="O91" i="24"/>
  <c r="N91" i="24"/>
  <c r="L91" i="24"/>
  <c r="T91" i="24" s="1"/>
  <c r="J91" i="24"/>
  <c r="Z91" i="24" s="1"/>
  <c r="H91" i="24"/>
  <c r="P91" i="24" s="1"/>
  <c r="U90" i="24"/>
  <c r="S90" i="24"/>
  <c r="Q90" i="24"/>
  <c r="O90" i="24"/>
  <c r="N90" i="24"/>
  <c r="L90" i="24"/>
  <c r="AB90" i="24" s="1"/>
  <c r="J90" i="24"/>
  <c r="Z90" i="24" s="1"/>
  <c r="H90" i="24"/>
  <c r="P90" i="24" s="1"/>
  <c r="U89" i="24"/>
  <c r="T89" i="24"/>
  <c r="S89" i="24"/>
  <c r="R89" i="24"/>
  <c r="Q89" i="24"/>
  <c r="P89" i="24"/>
  <c r="O89" i="24"/>
  <c r="N89" i="24"/>
  <c r="U88" i="24"/>
  <c r="S88" i="24"/>
  <c r="Q88" i="24"/>
  <c r="O88" i="24"/>
  <c r="N88" i="24"/>
  <c r="L88" i="24"/>
  <c r="AB88" i="24" s="1"/>
  <c r="J88" i="24"/>
  <c r="Z88" i="24" s="1"/>
  <c r="H88" i="24"/>
  <c r="P88" i="24" s="1"/>
  <c r="U87" i="24"/>
  <c r="S87" i="24"/>
  <c r="Q87" i="24"/>
  <c r="O87" i="24"/>
  <c r="N87" i="24"/>
  <c r="L87" i="24"/>
  <c r="T87" i="24" s="1"/>
  <c r="J87" i="24"/>
  <c r="R87" i="24" s="1"/>
  <c r="H87" i="24"/>
  <c r="X87" i="24" s="1"/>
  <c r="U86" i="24"/>
  <c r="S86" i="24"/>
  <c r="Q86" i="24"/>
  <c r="O86" i="24"/>
  <c r="N86" i="24"/>
  <c r="L86" i="24"/>
  <c r="T86" i="24" s="1"/>
  <c r="J86" i="24"/>
  <c r="R86" i="24" s="1"/>
  <c r="H86" i="24"/>
  <c r="P86" i="24" s="1"/>
  <c r="U85" i="24"/>
  <c r="S85" i="24"/>
  <c r="Q85" i="24"/>
  <c r="O85" i="24"/>
  <c r="N85" i="24"/>
  <c r="L85" i="24"/>
  <c r="AB85" i="24" s="1"/>
  <c r="J85" i="24"/>
  <c r="Z85" i="24" s="1"/>
  <c r="H85" i="24"/>
  <c r="X85" i="24" s="1"/>
  <c r="U83" i="24"/>
  <c r="T83" i="24"/>
  <c r="S83" i="24"/>
  <c r="R83" i="24"/>
  <c r="Q83" i="24"/>
  <c r="P83" i="24"/>
  <c r="O83" i="24"/>
  <c r="N83" i="24"/>
  <c r="D83" i="24"/>
  <c r="D84" i="24" s="1"/>
  <c r="D85" i="24" s="1"/>
  <c r="D86" i="24" s="1"/>
  <c r="D87" i="24" s="1"/>
  <c r="D88" i="24" s="1"/>
  <c r="D89" i="24" s="1"/>
  <c r="D90" i="24" s="1"/>
  <c r="D91" i="24" s="1"/>
  <c r="D92" i="24" s="1"/>
  <c r="D93" i="24" s="1"/>
  <c r="D94" i="24" s="1"/>
  <c r="U80" i="24"/>
  <c r="S80" i="24"/>
  <c r="Q80" i="24"/>
  <c r="O80" i="24"/>
  <c r="N80" i="24"/>
  <c r="L80" i="24"/>
  <c r="AB80" i="24" s="1"/>
  <c r="J80" i="24"/>
  <c r="R80" i="24" s="1"/>
  <c r="H80" i="24"/>
  <c r="X80" i="24" s="1"/>
  <c r="U79" i="24"/>
  <c r="S79" i="24"/>
  <c r="Q79" i="24"/>
  <c r="O79" i="24"/>
  <c r="N79" i="24"/>
  <c r="L79" i="24"/>
  <c r="T79" i="24" s="1"/>
  <c r="J79" i="24"/>
  <c r="Z79" i="24" s="1"/>
  <c r="H79" i="24"/>
  <c r="P79" i="24" s="1"/>
  <c r="U78" i="24"/>
  <c r="S78" i="24"/>
  <c r="Q78" i="24"/>
  <c r="O78" i="24"/>
  <c r="N78" i="24"/>
  <c r="L78" i="24"/>
  <c r="T78" i="24" s="1"/>
  <c r="J78" i="24"/>
  <c r="R78" i="24" s="1"/>
  <c r="H78" i="24"/>
  <c r="P78" i="24" s="1"/>
  <c r="U77" i="24"/>
  <c r="T77" i="24"/>
  <c r="S77" i="24"/>
  <c r="R77" i="24"/>
  <c r="Q77" i="24"/>
  <c r="P77" i="24"/>
  <c r="O77" i="24"/>
  <c r="N77" i="24"/>
  <c r="U76" i="24"/>
  <c r="S76" i="24"/>
  <c r="Q76" i="24"/>
  <c r="O76" i="24"/>
  <c r="N76" i="24"/>
  <c r="L76" i="24"/>
  <c r="AB76" i="24" s="1"/>
  <c r="J76" i="24"/>
  <c r="R76" i="24" s="1"/>
  <c r="H76" i="24"/>
  <c r="X76" i="24" s="1"/>
  <c r="U75" i="24"/>
  <c r="S75" i="24"/>
  <c r="Q75" i="24"/>
  <c r="O75" i="24"/>
  <c r="N75" i="24"/>
  <c r="L75" i="24"/>
  <c r="AB75" i="24" s="1"/>
  <c r="J75" i="24"/>
  <c r="R75" i="24" s="1"/>
  <c r="H75" i="24"/>
  <c r="X75" i="24" s="1"/>
  <c r="U74" i="24"/>
  <c r="S74" i="24"/>
  <c r="Q74" i="24"/>
  <c r="O74" i="24"/>
  <c r="N74" i="24"/>
  <c r="L74" i="24"/>
  <c r="AB74" i="24" s="1"/>
  <c r="J74" i="24"/>
  <c r="Z74" i="24" s="1"/>
  <c r="H74" i="24"/>
  <c r="X74" i="24" s="1"/>
  <c r="U73" i="24"/>
  <c r="S73" i="24"/>
  <c r="Q73" i="24"/>
  <c r="O73" i="24"/>
  <c r="N73" i="24"/>
  <c r="L73" i="24"/>
  <c r="T73" i="24" s="1"/>
  <c r="J73" i="24"/>
  <c r="Z73" i="24" s="1"/>
  <c r="H73" i="24"/>
  <c r="X73" i="24" s="1"/>
  <c r="U71" i="24"/>
  <c r="T71" i="24"/>
  <c r="S71" i="24"/>
  <c r="R71" i="24"/>
  <c r="Q71" i="24"/>
  <c r="P71" i="24"/>
  <c r="O71" i="24"/>
  <c r="N71" i="24"/>
  <c r="D71" i="24"/>
  <c r="D72" i="24" s="1"/>
  <c r="D73" i="24" s="1"/>
  <c r="D74" i="24" s="1"/>
  <c r="D75" i="24" s="1"/>
  <c r="D76" i="24" s="1"/>
  <c r="D77" i="24" s="1"/>
  <c r="D78" i="24" s="1"/>
  <c r="D79" i="24" s="1"/>
  <c r="D80" i="24" s="1"/>
  <c r="D81" i="24" s="1"/>
  <c r="D82" i="24" s="1"/>
  <c r="U68" i="24"/>
  <c r="S68" i="24"/>
  <c r="Q68" i="24"/>
  <c r="O68" i="24"/>
  <c r="N68" i="24"/>
  <c r="L68" i="24"/>
  <c r="T68" i="24" s="1"/>
  <c r="J68" i="24"/>
  <c r="R68" i="24" s="1"/>
  <c r="H68" i="24"/>
  <c r="P68" i="24" s="1"/>
  <c r="U67" i="24"/>
  <c r="S67" i="24"/>
  <c r="Q67" i="24"/>
  <c r="O67" i="24"/>
  <c r="N67" i="24"/>
  <c r="L67" i="24"/>
  <c r="AB67" i="24" s="1"/>
  <c r="J67" i="24"/>
  <c r="Z67" i="24" s="1"/>
  <c r="H67" i="24"/>
  <c r="X67" i="24" s="1"/>
  <c r="U66" i="24"/>
  <c r="S66" i="24"/>
  <c r="Q66" i="24"/>
  <c r="O66" i="24"/>
  <c r="N66" i="24"/>
  <c r="L66" i="24"/>
  <c r="AB66" i="24" s="1"/>
  <c r="J66" i="24"/>
  <c r="Z66" i="24" s="1"/>
  <c r="H66" i="24"/>
  <c r="P66" i="24" s="1"/>
  <c r="U65" i="24"/>
  <c r="T65" i="24"/>
  <c r="S65" i="24"/>
  <c r="R65" i="24"/>
  <c r="Q65" i="24"/>
  <c r="P65" i="24"/>
  <c r="O65" i="24"/>
  <c r="N65" i="24"/>
  <c r="U64" i="24"/>
  <c r="S64" i="24"/>
  <c r="Q64" i="24"/>
  <c r="O64" i="24"/>
  <c r="N64" i="24"/>
  <c r="L64" i="24"/>
  <c r="AB64" i="24" s="1"/>
  <c r="J64" i="24"/>
  <c r="Z64" i="24" s="1"/>
  <c r="H64" i="24"/>
  <c r="P64" i="24" s="1"/>
  <c r="U63" i="24"/>
  <c r="S63" i="24"/>
  <c r="Q63" i="24"/>
  <c r="O63" i="24"/>
  <c r="N63" i="24"/>
  <c r="L63" i="24"/>
  <c r="AB63" i="24" s="1"/>
  <c r="J63" i="24"/>
  <c r="Z63" i="24" s="1"/>
  <c r="H63" i="24"/>
  <c r="X63" i="24" s="1"/>
  <c r="U62" i="24"/>
  <c r="S62" i="24"/>
  <c r="Q62" i="24"/>
  <c r="O62" i="24"/>
  <c r="N62" i="24"/>
  <c r="L62" i="24"/>
  <c r="T62" i="24" s="1"/>
  <c r="J62" i="24"/>
  <c r="Z62" i="24" s="1"/>
  <c r="H62" i="24"/>
  <c r="X62" i="24" s="1"/>
  <c r="U61" i="24"/>
  <c r="S61" i="24"/>
  <c r="Q61" i="24"/>
  <c r="O61" i="24"/>
  <c r="N61" i="24"/>
  <c r="L61" i="24"/>
  <c r="AB61" i="24" s="1"/>
  <c r="J61" i="24"/>
  <c r="Z61" i="24" s="1"/>
  <c r="H61" i="24"/>
  <c r="X61" i="24" s="1"/>
  <c r="U59" i="24"/>
  <c r="T59" i="24"/>
  <c r="S59" i="24"/>
  <c r="R59" i="24"/>
  <c r="Q59" i="24"/>
  <c r="P59" i="24"/>
  <c r="O59" i="24"/>
  <c r="N59" i="24"/>
  <c r="D59" i="24"/>
  <c r="D60" i="24" s="1"/>
  <c r="D61" i="24" s="1"/>
  <c r="D62" i="24" s="1"/>
  <c r="D63" i="24" s="1"/>
  <c r="D64" i="24" s="1"/>
  <c r="D65" i="24" s="1"/>
  <c r="D66" i="24" s="1"/>
  <c r="D67" i="24" s="1"/>
  <c r="D68" i="24" s="1"/>
  <c r="D69" i="24" s="1"/>
  <c r="D70" i="24" s="1"/>
  <c r="U56" i="24"/>
  <c r="S56" i="24"/>
  <c r="Q56" i="24"/>
  <c r="O56" i="24"/>
  <c r="N56" i="24"/>
  <c r="L56" i="24"/>
  <c r="AB56" i="24" s="1"/>
  <c r="J56" i="24"/>
  <c r="R56" i="24" s="1"/>
  <c r="H56" i="24"/>
  <c r="P56" i="24" s="1"/>
  <c r="U55" i="24"/>
  <c r="S55" i="24"/>
  <c r="Q55" i="24"/>
  <c r="O55" i="24"/>
  <c r="N55" i="24"/>
  <c r="L55" i="24"/>
  <c r="T55" i="24" s="1"/>
  <c r="J55" i="24"/>
  <c r="Z55" i="24" s="1"/>
  <c r="H55" i="24"/>
  <c r="P55" i="24" s="1"/>
  <c r="U54" i="24"/>
  <c r="S54" i="24"/>
  <c r="Q54" i="24"/>
  <c r="O54" i="24"/>
  <c r="N54" i="24"/>
  <c r="L54" i="24"/>
  <c r="AB54" i="24" s="1"/>
  <c r="J54" i="24"/>
  <c r="R54" i="24" s="1"/>
  <c r="H54" i="24"/>
  <c r="P54" i="24" s="1"/>
  <c r="U53" i="24"/>
  <c r="S53" i="24"/>
  <c r="Q53" i="24"/>
  <c r="O53" i="24"/>
  <c r="N53" i="24"/>
  <c r="L53" i="24"/>
  <c r="AB53" i="24" s="1"/>
  <c r="J53" i="24"/>
  <c r="R53" i="24" s="1"/>
  <c r="H53" i="24"/>
  <c r="P53" i="24" s="1"/>
  <c r="U52" i="24"/>
  <c r="S52" i="24"/>
  <c r="Q52" i="24"/>
  <c r="O52" i="24"/>
  <c r="N52" i="24"/>
  <c r="L52" i="24"/>
  <c r="AB52" i="24" s="1"/>
  <c r="J52" i="24"/>
  <c r="Z52" i="24" s="1"/>
  <c r="H52" i="24"/>
  <c r="P52" i="24" s="1"/>
  <c r="U51" i="24"/>
  <c r="S51" i="24"/>
  <c r="Q51" i="24"/>
  <c r="O51" i="24"/>
  <c r="N51" i="24"/>
  <c r="L51" i="24"/>
  <c r="T51" i="24" s="1"/>
  <c r="J51" i="24"/>
  <c r="R51" i="24" s="1"/>
  <c r="H51" i="24"/>
  <c r="X51" i="24" s="1"/>
  <c r="U50" i="24"/>
  <c r="S50" i="24"/>
  <c r="Q50" i="24"/>
  <c r="O50" i="24"/>
  <c r="N50" i="24"/>
  <c r="L50" i="24"/>
  <c r="AB50" i="24" s="1"/>
  <c r="J50" i="24"/>
  <c r="R50" i="24" s="1"/>
  <c r="H50" i="24"/>
  <c r="P50" i="24" s="1"/>
  <c r="AT49" i="24"/>
  <c r="AS49" i="24"/>
  <c r="AR49" i="24"/>
  <c r="AQ49" i="24"/>
  <c r="AP49" i="24"/>
  <c r="M49" i="24"/>
  <c r="K49" i="24"/>
  <c r="S49" i="24" s="1"/>
  <c r="I49" i="24"/>
  <c r="G49" i="24"/>
  <c r="F49" i="24"/>
  <c r="U48" i="24"/>
  <c r="S48" i="24"/>
  <c r="Q48" i="24"/>
  <c r="O48" i="24"/>
  <c r="N48" i="24"/>
  <c r="L48" i="24"/>
  <c r="AB48" i="24" s="1"/>
  <c r="J48" i="24"/>
  <c r="J49" i="24" s="1"/>
  <c r="H48" i="24"/>
  <c r="H49" i="24" s="1"/>
  <c r="U46" i="24"/>
  <c r="T46" i="24"/>
  <c r="S46" i="24"/>
  <c r="R46" i="24"/>
  <c r="Q46" i="24"/>
  <c r="P46" i="24"/>
  <c r="O46" i="24"/>
  <c r="N46" i="24"/>
  <c r="D46" i="24"/>
  <c r="D47" i="24" s="1"/>
  <c r="D48" i="24" s="1"/>
  <c r="U43" i="24"/>
  <c r="S43" i="24"/>
  <c r="Q43" i="24"/>
  <c r="O43" i="24"/>
  <c r="N43" i="24"/>
  <c r="L43" i="24"/>
  <c r="T43" i="24" s="1"/>
  <c r="J43" i="24"/>
  <c r="R43" i="24" s="1"/>
  <c r="H43" i="24"/>
  <c r="P43" i="24" s="1"/>
  <c r="U42" i="24"/>
  <c r="S42" i="24"/>
  <c r="Q42" i="24"/>
  <c r="O42" i="24"/>
  <c r="N42" i="24"/>
  <c r="L42" i="24"/>
  <c r="AB42" i="24" s="1"/>
  <c r="J42" i="24"/>
  <c r="R42" i="24" s="1"/>
  <c r="H42" i="24"/>
  <c r="P42" i="24" s="1"/>
  <c r="U41" i="24"/>
  <c r="S41" i="24"/>
  <c r="Q41" i="24"/>
  <c r="O41" i="24"/>
  <c r="N41" i="24"/>
  <c r="L41" i="24"/>
  <c r="T41" i="24" s="1"/>
  <c r="J41" i="24"/>
  <c r="Z41" i="24" s="1"/>
  <c r="H41" i="24"/>
  <c r="X41" i="24" s="1"/>
  <c r="U40" i="24"/>
  <c r="S40" i="24"/>
  <c r="Q40" i="24"/>
  <c r="O40" i="24"/>
  <c r="N40" i="24"/>
  <c r="L40" i="24"/>
  <c r="T40" i="24" s="1"/>
  <c r="J40" i="24"/>
  <c r="R40" i="24" s="1"/>
  <c r="H40" i="24"/>
  <c r="P40" i="24" s="1"/>
  <c r="U39" i="24"/>
  <c r="S39" i="24"/>
  <c r="Q39" i="24"/>
  <c r="O39" i="24"/>
  <c r="N39" i="24"/>
  <c r="L39" i="24"/>
  <c r="AB39" i="24" s="1"/>
  <c r="J39" i="24"/>
  <c r="R39" i="24" s="1"/>
  <c r="H39" i="24"/>
  <c r="P39" i="24" s="1"/>
  <c r="U38" i="24"/>
  <c r="S38" i="24"/>
  <c r="Q38" i="24"/>
  <c r="O38" i="24"/>
  <c r="N38" i="24"/>
  <c r="L38" i="24"/>
  <c r="T38" i="24" s="1"/>
  <c r="J38" i="24"/>
  <c r="Z38" i="24" s="1"/>
  <c r="H38" i="24"/>
  <c r="X38" i="24" s="1"/>
  <c r="U37" i="24"/>
  <c r="S37" i="24"/>
  <c r="Q37" i="24"/>
  <c r="O37" i="24"/>
  <c r="N37" i="24"/>
  <c r="L37" i="24"/>
  <c r="T37" i="24" s="1"/>
  <c r="J37" i="24"/>
  <c r="R37" i="24" s="1"/>
  <c r="H37" i="24"/>
  <c r="P37" i="24" s="1"/>
  <c r="U36" i="24"/>
  <c r="S36" i="24"/>
  <c r="Q36" i="24"/>
  <c r="O36" i="24"/>
  <c r="N36" i="24"/>
  <c r="L36" i="24"/>
  <c r="AB36" i="24" s="1"/>
  <c r="J36" i="24"/>
  <c r="R36" i="24" s="1"/>
  <c r="H36" i="24"/>
  <c r="P36" i="24" s="1"/>
  <c r="U35" i="24"/>
  <c r="S35" i="24"/>
  <c r="Q35" i="24"/>
  <c r="O35" i="24"/>
  <c r="N35" i="24"/>
  <c r="L35" i="24"/>
  <c r="T35" i="24" s="1"/>
  <c r="J35" i="24"/>
  <c r="Z35" i="24" s="1"/>
  <c r="H35" i="24"/>
  <c r="X35" i="24" s="1"/>
  <c r="U34" i="24"/>
  <c r="S34" i="24"/>
  <c r="Q34" i="24"/>
  <c r="O34" i="24"/>
  <c r="N34" i="24"/>
  <c r="L34" i="24"/>
  <c r="T34" i="24" s="1"/>
  <c r="J34" i="24"/>
  <c r="R34" i="24" s="1"/>
  <c r="H34" i="24"/>
  <c r="X34" i="24" s="1"/>
  <c r="U33" i="24"/>
  <c r="S33" i="24"/>
  <c r="Q33" i="24"/>
  <c r="O33" i="24"/>
  <c r="N33" i="24"/>
  <c r="L33" i="24"/>
  <c r="AB33" i="24" s="1"/>
  <c r="J33" i="24"/>
  <c r="R33" i="24" s="1"/>
  <c r="H33" i="24"/>
  <c r="P33" i="24" s="1"/>
  <c r="U32" i="24"/>
  <c r="S32" i="24"/>
  <c r="Q32" i="24"/>
  <c r="O32" i="24"/>
  <c r="N32" i="24"/>
  <c r="L32" i="24"/>
  <c r="AB32" i="24" s="1"/>
  <c r="J32" i="24"/>
  <c r="Z32" i="24" s="1"/>
  <c r="H32" i="24"/>
  <c r="X32" i="24" s="1"/>
  <c r="U31" i="24"/>
  <c r="S31" i="24"/>
  <c r="Q31" i="24"/>
  <c r="O31" i="24"/>
  <c r="N31" i="24"/>
  <c r="L31" i="24"/>
  <c r="T31" i="24" s="1"/>
  <c r="J31" i="24"/>
  <c r="R31" i="24" s="1"/>
  <c r="H31" i="24"/>
  <c r="X31" i="24" s="1"/>
  <c r="U29" i="24"/>
  <c r="T29" i="24"/>
  <c r="S29" i="24"/>
  <c r="R29" i="24"/>
  <c r="Q29" i="24"/>
  <c r="P29" i="24"/>
  <c r="O29" i="24"/>
  <c r="N29" i="24"/>
  <c r="D29" i="24"/>
  <c r="D30" i="24" s="1"/>
  <c r="D31" i="24" s="1"/>
  <c r="D32" i="24" s="1"/>
  <c r="D33" i="24" s="1"/>
  <c r="D34" i="24" s="1"/>
  <c r="D35" i="24" s="1"/>
  <c r="D36" i="24" s="1"/>
  <c r="D37" i="24" s="1"/>
  <c r="D38" i="24" s="1"/>
  <c r="D39" i="24" s="1"/>
  <c r="D40" i="24" s="1"/>
  <c r="D41" i="24" s="1"/>
  <c r="D42" i="24" s="1"/>
  <c r="D43" i="24" s="1"/>
  <c r="D44" i="24" s="1"/>
  <c r="D45" i="24" s="1"/>
  <c r="U26" i="24"/>
  <c r="S26" i="24"/>
  <c r="Q26" i="24"/>
  <c r="O26" i="24"/>
  <c r="N26" i="24"/>
  <c r="L26" i="24"/>
  <c r="T26" i="24" s="1"/>
  <c r="J26" i="24"/>
  <c r="R26" i="24" s="1"/>
  <c r="H26" i="24"/>
  <c r="X26" i="24" s="1"/>
  <c r="U25" i="24"/>
  <c r="S25" i="24"/>
  <c r="Q25" i="24"/>
  <c r="O25" i="24"/>
  <c r="N25" i="24"/>
  <c r="L25" i="24"/>
  <c r="AB25" i="24" s="1"/>
  <c r="J25" i="24"/>
  <c r="R25" i="24" s="1"/>
  <c r="H25" i="24"/>
  <c r="X25" i="24" s="1"/>
  <c r="U24" i="24"/>
  <c r="S24" i="24"/>
  <c r="Q24" i="24"/>
  <c r="O24" i="24"/>
  <c r="N24" i="24"/>
  <c r="L24" i="24"/>
  <c r="T24" i="24" s="1"/>
  <c r="J24" i="24"/>
  <c r="Z24" i="24" s="1"/>
  <c r="H24" i="24"/>
  <c r="X24" i="24" s="1"/>
  <c r="U23" i="24"/>
  <c r="S23" i="24"/>
  <c r="Q23" i="24"/>
  <c r="O23" i="24"/>
  <c r="N23" i="24"/>
  <c r="L23" i="24"/>
  <c r="AB23" i="24" s="1"/>
  <c r="J23" i="24"/>
  <c r="R23" i="24" s="1"/>
  <c r="H23" i="24"/>
  <c r="X23" i="24" s="1"/>
  <c r="U21" i="24"/>
  <c r="T21" i="24"/>
  <c r="S21" i="24"/>
  <c r="R21" i="24"/>
  <c r="Q21" i="24"/>
  <c r="P21" i="24"/>
  <c r="O21" i="24"/>
  <c r="N21" i="24"/>
  <c r="D21" i="24"/>
  <c r="D22" i="24" s="1"/>
  <c r="D23" i="24" s="1"/>
  <c r="D24" i="24" s="1"/>
  <c r="D25" i="24" s="1"/>
  <c r="D26" i="24" s="1"/>
  <c r="D27" i="24" s="1"/>
  <c r="D28" i="24" s="1"/>
  <c r="BF18" i="24"/>
  <c r="BE18" i="24"/>
  <c r="BD18" i="24"/>
  <c r="BC18" i="24"/>
  <c r="BB18" i="24"/>
  <c r="U18" i="24"/>
  <c r="S18" i="24"/>
  <c r="Q18" i="24"/>
  <c r="O18" i="24"/>
  <c r="N18" i="24"/>
  <c r="L18" i="24"/>
  <c r="AB18" i="24" s="1"/>
  <c r="J18" i="24"/>
  <c r="R18" i="24" s="1"/>
  <c r="H18" i="24"/>
  <c r="P18" i="24" s="1"/>
  <c r="BF17" i="24"/>
  <c r="BE17" i="24"/>
  <c r="BD17" i="24"/>
  <c r="BC17" i="24"/>
  <c r="BB17" i="24"/>
  <c r="U17" i="24"/>
  <c r="S17" i="24"/>
  <c r="Q17" i="24"/>
  <c r="O17" i="24"/>
  <c r="N17" i="24"/>
  <c r="L17" i="24"/>
  <c r="T17" i="24" s="1"/>
  <c r="J17" i="24"/>
  <c r="R17" i="24" s="1"/>
  <c r="H17" i="24"/>
  <c r="P17" i="24" s="1"/>
  <c r="BF16" i="24"/>
  <c r="BE16" i="24"/>
  <c r="BD16" i="24"/>
  <c r="BC16" i="24"/>
  <c r="BB16" i="24"/>
  <c r="U16" i="24"/>
  <c r="S16" i="24"/>
  <c r="Q16" i="24"/>
  <c r="O16" i="24"/>
  <c r="N16" i="24"/>
  <c r="L16" i="24"/>
  <c r="T16" i="24" s="1"/>
  <c r="J16" i="24"/>
  <c r="Z16" i="24" s="1"/>
  <c r="H16" i="24"/>
  <c r="X16" i="24" s="1"/>
  <c r="BF15" i="24"/>
  <c r="BE15" i="24"/>
  <c r="BD15" i="24"/>
  <c r="BC15" i="24"/>
  <c r="BB15" i="24"/>
  <c r="U15" i="24"/>
  <c r="S15" i="24"/>
  <c r="Q15" i="24"/>
  <c r="O15" i="24"/>
  <c r="N15" i="24"/>
  <c r="L15" i="24"/>
  <c r="AB15" i="24" s="1"/>
  <c r="J15" i="24"/>
  <c r="Z15" i="24" s="1"/>
  <c r="H15" i="24"/>
  <c r="X15" i="24" s="1"/>
  <c r="BM14" i="24"/>
  <c r="BB14" i="24"/>
  <c r="AW14" i="24"/>
  <c r="AX14" i="24" s="1"/>
  <c r="U14" i="24"/>
  <c r="S14" i="24"/>
  <c r="Q14" i="24"/>
  <c r="O14" i="24"/>
  <c r="N14" i="24"/>
  <c r="L14" i="24"/>
  <c r="T14" i="24" s="1"/>
  <c r="J14" i="24"/>
  <c r="R14" i="24" s="1"/>
  <c r="H14" i="24"/>
  <c r="X14" i="24" s="1"/>
  <c r="BF13" i="24"/>
  <c r="BE13" i="24"/>
  <c r="BD13" i="24"/>
  <c r="BC13" i="24"/>
  <c r="BB13" i="24"/>
  <c r="U13" i="24"/>
  <c r="S13" i="24"/>
  <c r="Q13" i="24"/>
  <c r="O13" i="24"/>
  <c r="N13" i="24"/>
  <c r="L13" i="24"/>
  <c r="T13" i="24" s="1"/>
  <c r="J13" i="24"/>
  <c r="R13" i="24" s="1"/>
  <c r="H13" i="24"/>
  <c r="P13" i="24" s="1"/>
  <c r="BF12" i="24"/>
  <c r="BE12" i="24"/>
  <c r="BD12" i="24"/>
  <c r="BC12" i="24"/>
  <c r="BB12" i="24"/>
  <c r="U12" i="24"/>
  <c r="S12" i="24"/>
  <c r="Q12" i="24"/>
  <c r="O12" i="24"/>
  <c r="N12" i="24"/>
  <c r="L12" i="24"/>
  <c r="T12" i="24" s="1"/>
  <c r="J12" i="24"/>
  <c r="R12" i="24" s="1"/>
  <c r="H12" i="24"/>
  <c r="X12" i="24" s="1"/>
  <c r="BF11" i="24"/>
  <c r="BE11" i="24"/>
  <c r="BD11" i="24"/>
  <c r="BC11" i="24"/>
  <c r="BB11" i="24"/>
  <c r="U11" i="24"/>
  <c r="S11" i="24"/>
  <c r="Q11" i="24"/>
  <c r="O11" i="24"/>
  <c r="N11" i="24"/>
  <c r="L11" i="24"/>
  <c r="T11" i="24" s="1"/>
  <c r="J11" i="24"/>
  <c r="R11" i="24" s="1"/>
  <c r="H11" i="24"/>
  <c r="X11" i="24" s="1"/>
  <c r="BF10" i="24"/>
  <c r="BE10" i="24"/>
  <c r="BD10" i="24"/>
  <c r="BC10" i="24"/>
  <c r="BB10" i="24"/>
  <c r="U10" i="24"/>
  <c r="S10" i="24"/>
  <c r="Q10" i="24"/>
  <c r="O10" i="24"/>
  <c r="N10" i="24"/>
  <c r="L10" i="24"/>
  <c r="AB10" i="24" s="1"/>
  <c r="J10" i="24"/>
  <c r="R10" i="24" s="1"/>
  <c r="H10" i="24"/>
  <c r="X10" i="24" s="1"/>
  <c r="BF9" i="24"/>
  <c r="BE9" i="24"/>
  <c r="BD9" i="24"/>
  <c r="BC9" i="24"/>
  <c r="BB9" i="24"/>
  <c r="U9" i="24"/>
  <c r="S9" i="24"/>
  <c r="Q9" i="24"/>
  <c r="O9" i="24"/>
  <c r="N9" i="24"/>
  <c r="L9" i="24"/>
  <c r="T9" i="24" s="1"/>
  <c r="J9" i="24"/>
  <c r="R9" i="24" s="1"/>
  <c r="H9" i="24"/>
  <c r="X9" i="24" s="1"/>
  <c r="BF8" i="24"/>
  <c r="BE8" i="24"/>
  <c r="BD8" i="24"/>
  <c r="BC8" i="24"/>
  <c r="BB8" i="24"/>
  <c r="U8" i="24"/>
  <c r="S8" i="24"/>
  <c r="Q8" i="24"/>
  <c r="O8" i="24"/>
  <c r="N8" i="24"/>
  <c r="L8" i="24"/>
  <c r="T8" i="24" s="1"/>
  <c r="J8" i="24"/>
  <c r="Z8" i="24" s="1"/>
  <c r="H8" i="24"/>
  <c r="X8" i="24" s="1"/>
  <c r="BF7" i="24"/>
  <c r="BE7" i="24"/>
  <c r="BD7" i="24"/>
  <c r="BC7" i="24"/>
  <c r="BB7" i="24"/>
  <c r="U7" i="24"/>
  <c r="S7" i="24"/>
  <c r="Q7" i="24"/>
  <c r="O7" i="24"/>
  <c r="N7" i="24"/>
  <c r="L7" i="24"/>
  <c r="AB7" i="24" s="1"/>
  <c r="J7" i="24"/>
  <c r="Z7" i="24" s="1"/>
  <c r="H7" i="24"/>
  <c r="P7" i="24" s="1"/>
  <c r="BF6" i="24"/>
  <c r="BE6" i="24"/>
  <c r="BD6" i="24"/>
  <c r="BC6" i="24"/>
  <c r="BB6" i="24"/>
  <c r="U6" i="24"/>
  <c r="S6" i="24"/>
  <c r="Q6" i="24"/>
  <c r="O6" i="24"/>
  <c r="N6" i="24"/>
  <c r="L6" i="24"/>
  <c r="AB6" i="24" s="1"/>
  <c r="J6" i="24"/>
  <c r="Z6" i="24" s="1"/>
  <c r="H6" i="24"/>
  <c r="X6" i="24" s="1"/>
  <c r="D6" i="24"/>
  <c r="D7" i="24" s="1"/>
  <c r="D8" i="24" s="1"/>
  <c r="D9" i="24" s="1"/>
  <c r="D10" i="24" s="1"/>
  <c r="D11" i="24" s="1"/>
  <c r="D12" i="24" s="1"/>
  <c r="D13" i="24" s="1"/>
  <c r="D14" i="24" s="1"/>
  <c r="D15" i="24" s="1"/>
  <c r="D16" i="24" s="1"/>
  <c r="D17" i="24" s="1"/>
  <c r="D18" i="24" s="1"/>
  <c r="D19" i="24" s="1"/>
  <c r="D20" i="24" s="1"/>
  <c r="AZ4" i="24"/>
  <c r="BF4" i="24" s="1"/>
  <c r="AY4" i="24"/>
  <c r="BE4" i="24" s="1"/>
  <c r="AX4" i="24"/>
  <c r="BD4" i="24" s="1"/>
  <c r="AW4" i="24"/>
  <c r="BC4" i="24" s="1"/>
  <c r="AV4" i="24"/>
  <c r="BB4" i="24" s="1"/>
  <c r="AC4" i="24"/>
  <c r="AB4" i="24"/>
  <c r="AA4" i="24"/>
  <c r="Z4" i="24"/>
  <c r="Y4" i="24"/>
  <c r="X4" i="24"/>
  <c r="W4" i="24"/>
  <c r="V4" i="24"/>
  <c r="U4" i="24"/>
  <c r="T4" i="24"/>
  <c r="S4" i="24"/>
  <c r="R4" i="24"/>
  <c r="Q4" i="24"/>
  <c r="P4" i="24"/>
  <c r="O4" i="24"/>
  <c r="N4" i="24"/>
  <c r="B94" i="23"/>
  <c r="B93" i="23"/>
  <c r="B92" i="23"/>
  <c r="B91" i="23"/>
  <c r="B90" i="23"/>
  <c r="B89" i="23"/>
  <c r="B88" i="23"/>
  <c r="B87" i="23"/>
  <c r="B86" i="23"/>
  <c r="B85" i="23"/>
  <c r="B84" i="23"/>
  <c r="B83" i="23"/>
  <c r="B82" i="23"/>
  <c r="B81" i="23"/>
  <c r="B80" i="23"/>
  <c r="B79" i="23"/>
  <c r="B78" i="23"/>
  <c r="B77" i="23"/>
  <c r="B76" i="23"/>
  <c r="B75" i="23"/>
  <c r="B74" i="23"/>
  <c r="B73" i="23"/>
  <c r="B72" i="23"/>
  <c r="B71" i="23"/>
  <c r="B70" i="23"/>
  <c r="B69" i="23"/>
  <c r="B68" i="23"/>
  <c r="B67" i="23"/>
  <c r="B66" i="23"/>
  <c r="B65" i="23"/>
  <c r="B64" i="23"/>
  <c r="B63" i="23"/>
  <c r="B62" i="23"/>
  <c r="B61" i="23"/>
  <c r="B60" i="23"/>
  <c r="B59" i="23"/>
  <c r="B58" i="23"/>
  <c r="B57" i="23"/>
  <c r="B56" i="23"/>
  <c r="B55" i="23"/>
  <c r="B54"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8" i="23"/>
  <c r="B17" i="23"/>
  <c r="B16" i="23"/>
  <c r="B15" i="23"/>
  <c r="B14" i="23"/>
  <c r="B13" i="23"/>
  <c r="B12" i="23"/>
  <c r="B11" i="23"/>
  <c r="B9" i="23"/>
  <c r="B8" i="23"/>
  <c r="B7" i="23"/>
  <c r="B6" i="23"/>
  <c r="C122" i="22"/>
  <c r="I122" i="22"/>
  <c r="C121" i="22"/>
  <c r="I121" i="22"/>
  <c r="C120" i="22"/>
  <c r="C119" i="22"/>
  <c r="O119" i="22"/>
  <c r="C118" i="22"/>
  <c r="I118" i="22"/>
  <c r="C117" i="22"/>
  <c r="C116" i="22"/>
  <c r="O116" i="22"/>
  <c r="C115" i="22"/>
  <c r="I115" i="22"/>
  <c r="C114" i="22"/>
  <c r="I114" i="22"/>
  <c r="C113" i="22"/>
  <c r="O113" i="22"/>
  <c r="C112" i="22"/>
  <c r="I112" i="22"/>
  <c r="C111" i="22"/>
  <c r="I111" i="22"/>
  <c r="C110" i="22"/>
  <c r="O110" i="22"/>
  <c r="C109" i="22"/>
  <c r="O109" i="22"/>
  <c r="C108" i="22"/>
  <c r="O108" i="22"/>
  <c r="C107" i="22"/>
  <c r="O107" i="22"/>
  <c r="C106" i="22"/>
  <c r="O106" i="22"/>
  <c r="C105" i="22"/>
  <c r="S105" i="22"/>
  <c r="C104" i="22"/>
  <c r="C103" i="22"/>
  <c r="C102" i="22"/>
  <c r="C101" i="22"/>
  <c r="C100" i="22"/>
  <c r="C99" i="22"/>
  <c r="C98" i="22"/>
  <c r="C97" i="22"/>
  <c r="C96" i="22"/>
  <c r="C95" i="22"/>
  <c r="C94" i="22"/>
  <c r="C93" i="22"/>
  <c r="C92" i="22"/>
  <c r="C91" i="22"/>
  <c r="C90" i="22"/>
  <c r="C89" i="22"/>
  <c r="C88" i="22"/>
  <c r="C87" i="22"/>
  <c r="C86" i="22"/>
  <c r="C85" i="22"/>
  <c r="C84" i="22"/>
  <c r="C83" i="22"/>
  <c r="C82" i="22"/>
  <c r="C81" i="22"/>
  <c r="C80" i="22"/>
  <c r="C79" i="22"/>
  <c r="C78" i="22"/>
  <c r="C77" i="22"/>
  <c r="C76" i="22"/>
  <c r="C75" i="22"/>
  <c r="C74" i="22"/>
  <c r="C73" i="22"/>
  <c r="C72" i="22"/>
  <c r="C71" i="22"/>
  <c r="C70" i="22"/>
  <c r="C69" i="22"/>
  <c r="C68" i="22"/>
  <c r="F68" i="22"/>
  <c r="C67" i="22"/>
  <c r="C66" i="22"/>
  <c r="C65" i="22"/>
  <c r="C64" i="22"/>
  <c r="C63" i="22"/>
  <c r="C62" i="22"/>
  <c r="C61" i="22"/>
  <c r="C60" i="22"/>
  <c r="C59" i="22"/>
  <c r="C58" i="22"/>
  <c r="Z58" i="22"/>
  <c r="C57" i="22"/>
  <c r="C56" i="22"/>
  <c r="W56" i="22"/>
  <c r="C55" i="22"/>
  <c r="C54" i="22"/>
  <c r="S54" i="22"/>
  <c r="C53" i="22"/>
  <c r="C52" i="22"/>
  <c r="C51" i="22"/>
  <c r="C50" i="22"/>
  <c r="C49" i="22"/>
  <c r="C48" i="22"/>
  <c r="V48" i="22"/>
  <c r="C47" i="22"/>
  <c r="Z47" i="22"/>
  <c r="C46" i="22"/>
  <c r="C45" i="22"/>
  <c r="C44" i="22"/>
  <c r="C43" i="22"/>
  <c r="C42" i="22"/>
  <c r="C41" i="22"/>
  <c r="C40" i="22"/>
  <c r="C39" i="22"/>
  <c r="C38" i="22"/>
  <c r="I38" i="22"/>
  <c r="C37" i="22"/>
  <c r="C36" i="22"/>
  <c r="C35" i="22"/>
  <c r="C34" i="22"/>
  <c r="C33" i="22"/>
  <c r="C32" i="22"/>
  <c r="V32" i="22"/>
  <c r="C31" i="22"/>
  <c r="R31" i="22"/>
  <c r="C30" i="22"/>
  <c r="C29" i="22"/>
  <c r="C28" i="22"/>
  <c r="Y28" i="22"/>
  <c r="C27" i="22"/>
  <c r="C26" i="22"/>
  <c r="C25" i="22"/>
  <c r="C24" i="22"/>
  <c r="C23" i="22"/>
  <c r="C21" i="22"/>
  <c r="C20" i="22"/>
  <c r="C19" i="22"/>
  <c r="C18" i="22"/>
  <c r="C17" i="22"/>
  <c r="T17" i="22"/>
  <c r="C16" i="22"/>
  <c r="O16" i="22"/>
  <c r="C15" i="22"/>
  <c r="C14" i="22"/>
  <c r="C13" i="22"/>
  <c r="C12" i="22"/>
  <c r="C10" i="22"/>
  <c r="C9" i="22"/>
  <c r="C8" i="22"/>
  <c r="C7" i="22"/>
  <c r="C6" i="22"/>
  <c r="N6" i="22"/>
  <c r="P37" i="17"/>
  <c r="P41" i="17" s="1"/>
  <c r="P44" i="17" s="1"/>
  <c r="L73" i="12"/>
  <c r="AD43" i="12"/>
  <c r="F99" i="19"/>
  <c r="F98" i="19"/>
  <c r="F81" i="19"/>
  <c r="F82" i="19" s="1"/>
  <c r="E81" i="19"/>
  <c r="E82" i="19" s="1"/>
  <c r="G80" i="19"/>
  <c r="G81" i="19" s="1"/>
  <c r="G82" i="19" s="1"/>
  <c r="F80" i="19"/>
  <c r="E80" i="19"/>
  <c r="D80" i="19"/>
  <c r="D81" i="19" s="1"/>
  <c r="D82" i="19" s="1"/>
  <c r="C80" i="19"/>
  <c r="C81" i="19" s="1"/>
  <c r="C82" i="19" s="1"/>
  <c r="D77" i="19"/>
  <c r="C77" i="19"/>
  <c r="G76" i="19"/>
  <c r="F76" i="19"/>
  <c r="E76" i="19"/>
  <c r="D76" i="19"/>
  <c r="D78" i="19" s="1"/>
  <c r="C76" i="19"/>
  <c r="C78" i="19" s="1"/>
  <c r="F74" i="19"/>
  <c r="F73" i="19"/>
  <c r="D73" i="19"/>
  <c r="C73" i="19"/>
  <c r="G72" i="19"/>
  <c r="F72" i="19"/>
  <c r="E72" i="19"/>
  <c r="E74" i="19" s="1"/>
  <c r="D72" i="19"/>
  <c r="D74" i="19" s="1"/>
  <c r="C72" i="19"/>
  <c r="C74" i="19" s="1"/>
  <c r="D68" i="19"/>
  <c r="C68" i="19"/>
  <c r="F67" i="19"/>
  <c r="C67" i="19"/>
  <c r="G66" i="19"/>
  <c r="G67" i="19" s="1"/>
  <c r="F66" i="19"/>
  <c r="E66" i="19"/>
  <c r="D66" i="19"/>
  <c r="D69" i="19" s="1"/>
  <c r="C66" i="19"/>
  <c r="C69" i="19" s="1"/>
  <c r="G63" i="19"/>
  <c r="C62" i="19"/>
  <c r="G61" i="19"/>
  <c r="F61" i="19"/>
  <c r="E61" i="19"/>
  <c r="D61" i="19"/>
  <c r="C61" i="19"/>
  <c r="G59" i="19"/>
  <c r="L51" i="19"/>
  <c r="K51" i="19"/>
  <c r="J51" i="19"/>
  <c r="I51" i="19"/>
  <c r="H51" i="19"/>
  <c r="G51" i="19"/>
  <c r="F51" i="19"/>
  <c r="E51" i="19"/>
  <c r="D51" i="19"/>
  <c r="C51" i="19"/>
  <c r="G49" i="19"/>
  <c r="B49" i="19"/>
  <c r="G48" i="19"/>
  <c r="G55" i="19" s="1"/>
  <c r="B48" i="19"/>
  <c r="G47" i="19"/>
  <c r="F47" i="19"/>
  <c r="E47" i="19"/>
  <c r="D47" i="19"/>
  <c r="C47" i="19"/>
  <c r="B47" i="19"/>
  <c r="G46" i="19"/>
  <c r="F46" i="19"/>
  <c r="B46" i="19"/>
  <c r="F45" i="19"/>
  <c r="E45" i="19"/>
  <c r="D45" i="19"/>
  <c r="C45" i="19"/>
  <c r="C54" i="19" s="1"/>
  <c r="B45" i="19"/>
  <c r="C44" i="19"/>
  <c r="B44" i="19"/>
  <c r="B43" i="19"/>
  <c r="C42" i="19"/>
  <c r="C52" i="19" s="1"/>
  <c r="B42" i="19"/>
  <c r="B40" i="19"/>
  <c r="L39" i="19"/>
  <c r="G39" i="19"/>
  <c r="F39" i="19"/>
  <c r="E39" i="19"/>
  <c r="D39" i="19"/>
  <c r="B39" i="19"/>
  <c r="B70" i="19" s="1"/>
  <c r="G38" i="19"/>
  <c r="F38" i="19"/>
  <c r="E38" i="19"/>
  <c r="D38" i="19"/>
  <c r="B38" i="19"/>
  <c r="B69" i="19" s="1"/>
  <c r="L37" i="19"/>
  <c r="G37" i="19"/>
  <c r="F37" i="19"/>
  <c r="E37" i="19"/>
  <c r="D37" i="19"/>
  <c r="B37" i="19"/>
  <c r="B68" i="19" s="1"/>
  <c r="G36" i="19"/>
  <c r="F36" i="19"/>
  <c r="E36" i="19"/>
  <c r="D36" i="19"/>
  <c r="B36" i="19"/>
  <c r="B67" i="19" s="1"/>
  <c r="G35" i="19"/>
  <c r="F35" i="19"/>
  <c r="E35" i="19"/>
  <c r="D35" i="19"/>
  <c r="B35" i="19"/>
  <c r="G34" i="19"/>
  <c r="F34" i="19"/>
  <c r="E34" i="19"/>
  <c r="D34" i="19"/>
  <c r="B34" i="19"/>
  <c r="G33" i="19"/>
  <c r="F33" i="19"/>
  <c r="E33" i="19"/>
  <c r="D33" i="19"/>
  <c r="B33" i="19"/>
  <c r="G31" i="19"/>
  <c r="F31" i="19"/>
  <c r="E31" i="19"/>
  <c r="D31" i="19"/>
  <c r="C31" i="19"/>
  <c r="G30" i="19"/>
  <c r="F30" i="19"/>
  <c r="E30" i="19"/>
  <c r="D30" i="19"/>
  <c r="C30" i="19"/>
  <c r="L29" i="19"/>
  <c r="K29" i="19"/>
  <c r="J29" i="19"/>
  <c r="I29" i="19"/>
  <c r="H29" i="19"/>
  <c r="G29" i="19"/>
  <c r="F29" i="19"/>
  <c r="E29" i="19"/>
  <c r="D29" i="19"/>
  <c r="C29" i="19"/>
  <c r="G25" i="19"/>
  <c r="F25" i="19"/>
  <c r="E25" i="19"/>
  <c r="D25" i="19"/>
  <c r="C25" i="19"/>
  <c r="G23" i="19"/>
  <c r="G45" i="19" s="1"/>
  <c r="F23" i="19"/>
  <c r="E23" i="19"/>
  <c r="E42" i="19" s="1"/>
  <c r="E52" i="19" s="1"/>
  <c r="D23" i="19"/>
  <c r="D42" i="19" s="1"/>
  <c r="D52" i="19" s="1"/>
  <c r="C23" i="19"/>
  <c r="L22" i="19"/>
  <c r="K22" i="19"/>
  <c r="J22" i="19"/>
  <c r="I22" i="19"/>
  <c r="H22" i="19"/>
  <c r="L21" i="19"/>
  <c r="K21" i="19"/>
  <c r="K38" i="19" s="1"/>
  <c r="J21" i="19"/>
  <c r="I21" i="19"/>
  <c r="H21" i="19"/>
  <c r="H38" i="19" s="1"/>
  <c r="L20" i="19"/>
  <c r="AD43" i="17" s="1"/>
  <c r="K20" i="19"/>
  <c r="J20" i="19"/>
  <c r="J37" i="19" s="1"/>
  <c r="I20" i="19"/>
  <c r="H20" i="19"/>
  <c r="H19" i="19"/>
  <c r="L17" i="19"/>
  <c r="AD26" i="12" s="1"/>
  <c r="K17" i="19"/>
  <c r="K34" i="19" s="1"/>
  <c r="J17" i="19"/>
  <c r="J34" i="19" s="1"/>
  <c r="I17" i="19"/>
  <c r="I76" i="19" s="1"/>
  <c r="I78" i="19" s="1"/>
  <c r="H17" i="19"/>
  <c r="L16" i="19"/>
  <c r="K16" i="19"/>
  <c r="J16" i="19"/>
  <c r="J33" i="19" s="1"/>
  <c r="I16" i="19"/>
  <c r="H16" i="19"/>
  <c r="H33" i="19" s="1"/>
  <c r="U9" i="19"/>
  <c r="T9" i="19"/>
  <c r="L19" i="19" s="1"/>
  <c r="S9" i="19"/>
  <c r="K19" i="19" s="1"/>
  <c r="R9" i="19"/>
  <c r="J19" i="19" s="1"/>
  <c r="P9" i="19"/>
  <c r="I19" i="19" s="1"/>
  <c r="O9" i="19"/>
  <c r="U8" i="19"/>
  <c r="T8" i="19"/>
  <c r="L18" i="19" s="1"/>
  <c r="S8" i="19"/>
  <c r="K18" i="19" s="1"/>
  <c r="R8" i="19"/>
  <c r="J18" i="19" s="1"/>
  <c r="P8" i="19"/>
  <c r="I18" i="19" s="1"/>
  <c r="O8" i="19"/>
  <c r="N8" i="19"/>
  <c r="H18" i="19" s="1"/>
  <c r="C82" i="18"/>
  <c r="B82" i="18"/>
  <c r="J82" i="18" s="1"/>
  <c r="A82" i="18"/>
  <c r="C81" i="18"/>
  <c r="B81" i="18"/>
  <c r="H81" i="18" s="1"/>
  <c r="A81" i="18"/>
  <c r="C80" i="18"/>
  <c r="B80" i="18"/>
  <c r="J80" i="18" s="1"/>
  <c r="A80" i="18"/>
  <c r="C79" i="18"/>
  <c r="B79" i="18"/>
  <c r="H79" i="18" s="1"/>
  <c r="A79" i="18"/>
  <c r="C78" i="18"/>
  <c r="B78" i="18"/>
  <c r="H78" i="18" s="1"/>
  <c r="A78" i="18"/>
  <c r="C77" i="18"/>
  <c r="B77" i="18"/>
  <c r="H77" i="18" s="1"/>
  <c r="A77" i="18"/>
  <c r="C76" i="18"/>
  <c r="B76" i="18"/>
  <c r="A76" i="18"/>
  <c r="C75" i="18"/>
  <c r="B75" i="18"/>
  <c r="A75" i="18"/>
  <c r="C74" i="18"/>
  <c r="B74" i="18"/>
  <c r="A74" i="18"/>
  <c r="C73" i="18"/>
  <c r="B73" i="18"/>
  <c r="A73" i="18"/>
  <c r="C72" i="18"/>
  <c r="B72" i="18"/>
  <c r="A72" i="18"/>
  <c r="C71" i="18"/>
  <c r="B71" i="18"/>
  <c r="H71" i="18" s="1"/>
  <c r="A71" i="18"/>
  <c r="C70" i="18"/>
  <c r="B70" i="18"/>
  <c r="J70" i="18" s="1"/>
  <c r="A70" i="18"/>
  <c r="C69" i="18"/>
  <c r="B69" i="18"/>
  <c r="J69" i="18" s="1"/>
  <c r="A69" i="18"/>
  <c r="C68" i="18"/>
  <c r="B68" i="18"/>
  <c r="A68" i="18"/>
  <c r="C67" i="18"/>
  <c r="B67" i="18"/>
  <c r="A67" i="18"/>
  <c r="C66" i="18"/>
  <c r="B66" i="18"/>
  <c r="A66" i="18"/>
  <c r="C65" i="18"/>
  <c r="B65" i="18"/>
  <c r="H65" i="18" s="1"/>
  <c r="A65" i="18"/>
  <c r="C64" i="18"/>
  <c r="B64" i="18"/>
  <c r="A64" i="18"/>
  <c r="C63" i="18"/>
  <c r="B63" i="18"/>
  <c r="H63" i="18" s="1"/>
  <c r="A63" i="18"/>
  <c r="C62" i="18"/>
  <c r="B62" i="18"/>
  <c r="I62" i="18" s="1"/>
  <c r="A62" i="18"/>
  <c r="C61" i="18"/>
  <c r="B61" i="18"/>
  <c r="J61" i="18" s="1"/>
  <c r="A61" i="18"/>
  <c r="C60" i="18"/>
  <c r="B60" i="18"/>
  <c r="J60" i="18" s="1"/>
  <c r="A60" i="18"/>
  <c r="C59" i="18"/>
  <c r="B59" i="18"/>
  <c r="A59" i="18"/>
  <c r="C58" i="18"/>
  <c r="B58" i="18"/>
  <c r="A58" i="18"/>
  <c r="C57" i="18"/>
  <c r="B57" i="18"/>
  <c r="A57" i="18"/>
  <c r="C56" i="18"/>
  <c r="B56" i="18"/>
  <c r="A56" i="18"/>
  <c r="C55" i="18"/>
  <c r="B55" i="18"/>
  <c r="A55" i="18"/>
  <c r="C54" i="18"/>
  <c r="B54" i="18"/>
  <c r="A54" i="18"/>
  <c r="C53" i="18"/>
  <c r="B53" i="18"/>
  <c r="A53" i="18"/>
  <c r="C52" i="18"/>
  <c r="B52" i="18"/>
  <c r="A52" i="18"/>
  <c r="C51" i="18"/>
  <c r="B51" i="18"/>
  <c r="A51" i="18"/>
  <c r="C50" i="18"/>
  <c r="B50" i="18"/>
  <c r="A50" i="18"/>
  <c r="C49" i="18"/>
  <c r="B49" i="18"/>
  <c r="A49" i="18"/>
  <c r="C48" i="18"/>
  <c r="B48" i="18"/>
  <c r="A48" i="18"/>
  <c r="C47" i="18"/>
  <c r="B47" i="18"/>
  <c r="I47" i="18" s="1"/>
  <c r="A47" i="18"/>
  <c r="C46" i="18"/>
  <c r="B46" i="18"/>
  <c r="A46" i="18"/>
  <c r="C45" i="18"/>
  <c r="B45" i="18"/>
  <c r="A45" i="18"/>
  <c r="C44" i="18"/>
  <c r="B44" i="18"/>
  <c r="A44" i="18"/>
  <c r="C43" i="18"/>
  <c r="B43" i="18"/>
  <c r="J43" i="18" s="1"/>
  <c r="A43" i="18"/>
  <c r="C42" i="18"/>
  <c r="B42" i="18"/>
  <c r="J42" i="18" s="1"/>
  <c r="A42" i="18"/>
  <c r="C41" i="18"/>
  <c r="B41" i="18"/>
  <c r="H41" i="18" s="1"/>
  <c r="A41" i="18"/>
  <c r="C40" i="18"/>
  <c r="B40" i="18"/>
  <c r="J40" i="18" s="1"/>
  <c r="A40" i="18"/>
  <c r="C39" i="18"/>
  <c r="B39" i="18"/>
  <c r="A39" i="18"/>
  <c r="C38" i="18"/>
  <c r="B38" i="18"/>
  <c r="I38" i="18" s="1"/>
  <c r="A38" i="18"/>
  <c r="C37" i="18"/>
  <c r="B37" i="18"/>
  <c r="J37" i="18" s="1"/>
  <c r="A37" i="18"/>
  <c r="C36" i="18"/>
  <c r="B36" i="18"/>
  <c r="F36" i="18" s="1"/>
  <c r="A36" i="18"/>
  <c r="C35" i="18"/>
  <c r="B35" i="18"/>
  <c r="A35" i="18"/>
  <c r="C34" i="18"/>
  <c r="B34" i="18"/>
  <c r="A34" i="18"/>
  <c r="C33" i="18"/>
  <c r="B33" i="18"/>
  <c r="A33" i="18"/>
  <c r="C32" i="18"/>
  <c r="B32" i="18"/>
  <c r="J32" i="18" s="1"/>
  <c r="A32" i="18"/>
  <c r="C31" i="18"/>
  <c r="B31" i="18"/>
  <c r="J31" i="18" s="1"/>
  <c r="A31" i="18"/>
  <c r="C30" i="18"/>
  <c r="B30" i="18"/>
  <c r="A30" i="18"/>
  <c r="C29" i="18"/>
  <c r="B29" i="18"/>
  <c r="A29" i="18"/>
  <c r="C28" i="18"/>
  <c r="B28" i="18"/>
  <c r="J28" i="18" s="1"/>
  <c r="A28" i="18"/>
  <c r="C27" i="18"/>
  <c r="B27" i="18"/>
  <c r="G27" i="18" s="1"/>
  <c r="A27" i="18"/>
  <c r="C26" i="18"/>
  <c r="B26" i="18"/>
  <c r="I26" i="18" s="1"/>
  <c r="A26" i="18"/>
  <c r="C25" i="18"/>
  <c r="B25" i="18"/>
  <c r="A25" i="18"/>
  <c r="C24" i="18"/>
  <c r="B24" i="18"/>
  <c r="J24" i="18" s="1"/>
  <c r="A24" i="18"/>
  <c r="C23" i="18"/>
  <c r="B23" i="18"/>
  <c r="I23" i="18" s="1"/>
  <c r="A23" i="18"/>
  <c r="C22" i="18"/>
  <c r="B22" i="18"/>
  <c r="J22" i="18" s="1"/>
  <c r="A22" i="18"/>
  <c r="C21" i="18"/>
  <c r="B21" i="18"/>
  <c r="A21" i="18"/>
  <c r="C20" i="18"/>
  <c r="B20" i="18"/>
  <c r="A20" i="18"/>
  <c r="C19" i="18"/>
  <c r="B19" i="18"/>
  <c r="A19" i="18"/>
  <c r="C18" i="18"/>
  <c r="B18" i="18"/>
  <c r="F18" i="18" s="1"/>
  <c r="A18" i="18"/>
  <c r="C17" i="18"/>
  <c r="B17" i="18"/>
  <c r="A17" i="18"/>
  <c r="C16" i="18"/>
  <c r="B16" i="18"/>
  <c r="A16" i="18"/>
  <c r="C15" i="18"/>
  <c r="B15" i="18"/>
  <c r="H15" i="18" s="1"/>
  <c r="A15" i="18"/>
  <c r="C14" i="18"/>
  <c r="B14" i="18"/>
  <c r="J14" i="18" s="1"/>
  <c r="A14" i="18"/>
  <c r="C13" i="18"/>
  <c r="B13" i="18"/>
  <c r="J13" i="18" s="1"/>
  <c r="A13" i="18"/>
  <c r="C12" i="18"/>
  <c r="B12" i="18"/>
  <c r="A12" i="18"/>
  <c r="C11" i="18"/>
  <c r="B11" i="18"/>
  <c r="J11" i="18" s="1"/>
  <c r="A11" i="18"/>
  <c r="C10" i="18"/>
  <c r="B10" i="18"/>
  <c r="A10" i="18"/>
  <c r="C9" i="18"/>
  <c r="B9" i="18"/>
  <c r="A9" i="18"/>
  <c r="C8" i="18"/>
  <c r="B8" i="18"/>
  <c r="A8" i="18"/>
  <c r="C7" i="18"/>
  <c r="B7" i="18"/>
  <c r="A7" i="18"/>
  <c r="C6" i="18"/>
  <c r="B6" i="18"/>
  <c r="A6" i="18"/>
  <c r="G117" i="17"/>
  <c r="I102" i="17"/>
  <c r="J102" i="17" s="1"/>
  <c r="K102" i="17" s="1"/>
  <c r="I101" i="17"/>
  <c r="J101" i="17" s="1"/>
  <c r="I100" i="17"/>
  <c r="J100" i="17" s="1"/>
  <c r="O99" i="17"/>
  <c r="N99" i="17"/>
  <c r="N98" i="17"/>
  <c r="O98" i="17" s="1"/>
  <c r="K98" i="17"/>
  <c r="H98" i="17"/>
  <c r="H105" i="17" s="1"/>
  <c r="P96" i="17"/>
  <c r="O96" i="17"/>
  <c r="I96" i="17"/>
  <c r="I98" i="17" s="1"/>
  <c r="H93" i="17"/>
  <c r="J89" i="17"/>
  <c r="J90" i="17" s="1"/>
  <c r="I89" i="17"/>
  <c r="I92" i="17" s="1"/>
  <c r="I94" i="17" s="1"/>
  <c r="H89" i="17"/>
  <c r="H92" i="17" s="1"/>
  <c r="H94" i="17" s="1"/>
  <c r="J88" i="17"/>
  <c r="I87" i="17"/>
  <c r="H87" i="17"/>
  <c r="M86" i="17"/>
  <c r="J85" i="17"/>
  <c r="I85" i="17"/>
  <c r="H85" i="17"/>
  <c r="J82" i="17"/>
  <c r="I82" i="17"/>
  <c r="H82" i="17"/>
  <c r="E85" i="17" s="1"/>
  <c r="E86" i="17" s="1"/>
  <c r="L74" i="17"/>
  <c r="AG47" i="17"/>
  <c r="X38" i="17"/>
  <c r="W38" i="17"/>
  <c r="X37" i="17"/>
  <c r="W37" i="17"/>
  <c r="AC36" i="17"/>
  <c r="X36" i="17"/>
  <c r="W36" i="17"/>
  <c r="AC35" i="17"/>
  <c r="X35" i="17"/>
  <c r="W35" i="17"/>
  <c r="AC34" i="17"/>
  <c r="X34" i="17"/>
  <c r="W34" i="17"/>
  <c r="AC33" i="17"/>
  <c r="X33" i="17"/>
  <c r="W33" i="17"/>
  <c r="AC32" i="17"/>
  <c r="X32" i="17"/>
  <c r="W32" i="17"/>
  <c r="AC31" i="17"/>
  <c r="X31" i="17"/>
  <c r="W31" i="17"/>
  <c r="AC30" i="17"/>
  <c r="X30" i="17"/>
  <c r="W30" i="17"/>
  <c r="AC29" i="17"/>
  <c r="X29" i="17"/>
  <c r="W29" i="17"/>
  <c r="AC28" i="17"/>
  <c r="X28" i="17"/>
  <c r="W28" i="17"/>
  <c r="AC27" i="17"/>
  <c r="X27" i="17"/>
  <c r="W27" i="17"/>
  <c r="P5" i="17"/>
  <c r="C47" i="11"/>
  <c r="C46" i="11"/>
  <c r="C45" i="11"/>
  <c r="C44" i="11"/>
  <c r="C43" i="11"/>
  <c r="K36" i="11"/>
  <c r="J36" i="11"/>
  <c r="I36" i="11"/>
  <c r="Q36" i="11" s="1"/>
  <c r="O36" i="11"/>
  <c r="F36" i="11"/>
  <c r="N36" i="11" s="1"/>
  <c r="E36" i="11"/>
  <c r="M36" i="11" s="1"/>
  <c r="J35" i="11"/>
  <c r="I35" i="11"/>
  <c r="F35" i="11"/>
  <c r="E35" i="11"/>
  <c r="J34" i="11"/>
  <c r="I34" i="11"/>
  <c r="F34" i="11"/>
  <c r="E34" i="11"/>
  <c r="J33" i="11"/>
  <c r="I33" i="11"/>
  <c r="F33" i="11"/>
  <c r="E33" i="11"/>
  <c r="J32" i="11"/>
  <c r="I32" i="11"/>
  <c r="J31" i="11"/>
  <c r="I31" i="11"/>
  <c r="F31" i="11"/>
  <c r="E31" i="11"/>
  <c r="J29" i="11"/>
  <c r="I29" i="11"/>
  <c r="H29" i="11"/>
  <c r="G29" i="11"/>
  <c r="F29" i="11"/>
  <c r="E29" i="11"/>
  <c r="J28" i="11"/>
  <c r="I28" i="11"/>
  <c r="H28" i="11"/>
  <c r="G28" i="11"/>
  <c r="F28" i="11"/>
  <c r="E28" i="11"/>
  <c r="J27" i="11"/>
  <c r="I27" i="11"/>
  <c r="H27" i="11"/>
  <c r="G27" i="11"/>
  <c r="F27" i="11"/>
  <c r="E27" i="11"/>
  <c r="J26" i="11"/>
  <c r="I26" i="11"/>
  <c r="H26" i="11"/>
  <c r="G26" i="11"/>
  <c r="F26" i="11"/>
  <c r="E26" i="11"/>
  <c r="J25" i="11"/>
  <c r="I25" i="11"/>
  <c r="H25" i="11"/>
  <c r="G25" i="11"/>
  <c r="F25" i="11"/>
  <c r="E25" i="11"/>
  <c r="J24" i="11"/>
  <c r="I24" i="11"/>
  <c r="H24" i="11"/>
  <c r="G24" i="11"/>
  <c r="F24" i="11"/>
  <c r="E24" i="11"/>
  <c r="J23" i="11"/>
  <c r="I23" i="11"/>
  <c r="H23" i="11"/>
  <c r="G23" i="11"/>
  <c r="F23" i="11"/>
  <c r="E23" i="11"/>
  <c r="J22" i="11"/>
  <c r="I22" i="11"/>
  <c r="H22" i="11"/>
  <c r="G22" i="11"/>
  <c r="F22" i="11"/>
  <c r="E22" i="11"/>
  <c r="J21" i="11"/>
  <c r="I21" i="11"/>
  <c r="H21" i="11"/>
  <c r="G21" i="11"/>
  <c r="F21" i="11"/>
  <c r="E21" i="11"/>
  <c r="J20" i="11"/>
  <c r="I20" i="11"/>
  <c r="H20" i="11"/>
  <c r="G20" i="11"/>
  <c r="F20" i="11"/>
  <c r="E20" i="11"/>
  <c r="J19" i="11"/>
  <c r="I19" i="11"/>
  <c r="H19" i="11"/>
  <c r="G19" i="11"/>
  <c r="F19" i="11"/>
  <c r="E19" i="11"/>
  <c r="J18" i="11"/>
  <c r="I18" i="11"/>
  <c r="H18" i="11"/>
  <c r="G18" i="11"/>
  <c r="F18" i="11"/>
  <c r="E18" i="11"/>
  <c r="J17" i="11"/>
  <c r="I17" i="11"/>
  <c r="H17" i="11"/>
  <c r="G17" i="11"/>
  <c r="F17" i="11"/>
  <c r="E17" i="11"/>
  <c r="J16" i="11"/>
  <c r="I16" i="11"/>
  <c r="H16" i="11"/>
  <c r="G16" i="11"/>
  <c r="F16" i="11"/>
  <c r="E16" i="11"/>
  <c r="J15" i="11"/>
  <c r="I15" i="11"/>
  <c r="H15" i="11"/>
  <c r="G15" i="11"/>
  <c r="F15" i="11"/>
  <c r="E15" i="11"/>
  <c r="J14" i="11"/>
  <c r="I14" i="11"/>
  <c r="H14" i="11"/>
  <c r="G14" i="11"/>
  <c r="F14" i="11"/>
  <c r="E14" i="11"/>
  <c r="J13" i="11"/>
  <c r="I13" i="11"/>
  <c r="H13" i="11"/>
  <c r="G13" i="11"/>
  <c r="F13" i="11"/>
  <c r="E13" i="11"/>
  <c r="J12" i="11"/>
  <c r="I12" i="11"/>
  <c r="H12" i="11"/>
  <c r="G12" i="11"/>
  <c r="F12" i="11"/>
  <c r="E12" i="11"/>
  <c r="J11" i="11"/>
  <c r="I11" i="11"/>
  <c r="H11" i="11"/>
  <c r="G11" i="11"/>
  <c r="F11" i="11"/>
  <c r="E11" i="11"/>
  <c r="J10" i="11"/>
  <c r="I10" i="11"/>
  <c r="H10" i="11"/>
  <c r="G10" i="11"/>
  <c r="F10" i="11"/>
  <c r="E10" i="11"/>
  <c r="J9" i="11"/>
  <c r="I9" i="11"/>
  <c r="H9" i="11"/>
  <c r="G9" i="11"/>
  <c r="F9" i="11"/>
  <c r="E9" i="11"/>
  <c r="J8" i="11"/>
  <c r="I8" i="11"/>
  <c r="H8" i="11"/>
  <c r="G8" i="11"/>
  <c r="F8" i="11"/>
  <c r="E8" i="11"/>
  <c r="J7" i="11"/>
  <c r="I7" i="11"/>
  <c r="H7" i="11"/>
  <c r="G7" i="11"/>
  <c r="F7" i="11"/>
  <c r="E7" i="11"/>
  <c r="J6" i="11"/>
  <c r="I6" i="11"/>
  <c r="H6" i="11"/>
  <c r="G6" i="11"/>
  <c r="F6" i="11"/>
  <c r="E6" i="11"/>
  <c r="J5" i="11"/>
  <c r="I5" i="11"/>
  <c r="H5" i="11"/>
  <c r="G5" i="11"/>
  <c r="F5" i="11"/>
  <c r="P36" i="11"/>
  <c r="S36" i="11"/>
  <c r="R36" i="11"/>
  <c r="E5" i="11"/>
  <c r="B37" i="11"/>
  <c r="B38" i="11"/>
  <c r="B39" i="11"/>
  <c r="B40" i="11"/>
  <c r="B41" i="11"/>
  <c r="B42" i="11"/>
  <c r="B43" i="11"/>
  <c r="B44" i="11"/>
  <c r="B45" i="11"/>
  <c r="B46" i="11"/>
  <c r="B47" i="11"/>
  <c r="C5" i="10"/>
  <c r="D5" i="10"/>
  <c r="E5" i="10"/>
  <c r="F5" i="10"/>
  <c r="G5" i="10"/>
  <c r="H5" i="10"/>
  <c r="I5" i="10"/>
  <c r="C6" i="10"/>
  <c r="D6" i="10"/>
  <c r="E6" i="10"/>
  <c r="F6" i="10"/>
  <c r="G6" i="10"/>
  <c r="H6" i="10"/>
  <c r="I6" i="10"/>
  <c r="C7" i="10"/>
  <c r="D7" i="10"/>
  <c r="E7" i="10"/>
  <c r="F7" i="10"/>
  <c r="G7" i="10"/>
  <c r="H7" i="10"/>
  <c r="I7" i="10"/>
  <c r="C8" i="10"/>
  <c r="D8" i="10"/>
  <c r="C9" i="10"/>
  <c r="D9" i="10"/>
  <c r="E9" i="10"/>
  <c r="F9" i="10"/>
  <c r="G9" i="10"/>
  <c r="H9" i="10"/>
  <c r="I9" i="10"/>
  <c r="C10" i="10"/>
  <c r="E10" i="10"/>
  <c r="F10" i="10"/>
  <c r="G10" i="10"/>
  <c r="H10" i="10"/>
  <c r="I10" i="10"/>
  <c r="C11" i="10"/>
  <c r="D11" i="10"/>
  <c r="E11" i="10"/>
  <c r="F11" i="10"/>
  <c r="G11" i="10"/>
  <c r="H11" i="10"/>
  <c r="I11" i="10"/>
  <c r="C12" i="10"/>
  <c r="D12" i="10"/>
  <c r="E12" i="10"/>
  <c r="F12" i="10"/>
  <c r="G12" i="10"/>
  <c r="H12" i="10"/>
  <c r="I12" i="10"/>
  <c r="C13" i="10"/>
  <c r="D13" i="10"/>
  <c r="E13" i="10"/>
  <c r="F13" i="10"/>
  <c r="G13" i="10"/>
  <c r="H13" i="10"/>
  <c r="I13" i="10"/>
  <c r="C14" i="10"/>
  <c r="D14" i="10"/>
  <c r="E14" i="10"/>
  <c r="F14" i="10"/>
  <c r="G14" i="10"/>
  <c r="H14" i="10"/>
  <c r="I14" i="10"/>
  <c r="C15" i="10"/>
  <c r="D15" i="10"/>
  <c r="E15" i="10"/>
  <c r="F15" i="10"/>
  <c r="G15" i="10"/>
  <c r="H15" i="10"/>
  <c r="I15" i="10"/>
  <c r="C16" i="10"/>
  <c r="D16" i="10"/>
  <c r="E16" i="10"/>
  <c r="F16" i="10"/>
  <c r="G16" i="10"/>
  <c r="H16" i="10"/>
  <c r="I16" i="10"/>
  <c r="C17" i="10"/>
  <c r="D17" i="10"/>
  <c r="E17" i="10"/>
  <c r="F17" i="10"/>
  <c r="G17" i="10"/>
  <c r="H17" i="10"/>
  <c r="I17" i="10"/>
  <c r="C18" i="10"/>
  <c r="D18" i="10"/>
  <c r="E18" i="10"/>
  <c r="F18" i="10"/>
  <c r="G18" i="10"/>
  <c r="H18" i="10"/>
  <c r="I18" i="10"/>
  <c r="C19" i="10"/>
  <c r="D19" i="10"/>
  <c r="E19" i="10"/>
  <c r="F19" i="10"/>
  <c r="G19" i="10"/>
  <c r="H19" i="10"/>
  <c r="I19" i="10"/>
  <c r="C20" i="10"/>
  <c r="D20" i="10"/>
  <c r="E20" i="10"/>
  <c r="F20" i="10"/>
  <c r="G20" i="10"/>
  <c r="H20" i="10"/>
  <c r="I20" i="10"/>
  <c r="C21" i="10"/>
  <c r="D21" i="10"/>
  <c r="E21" i="10"/>
  <c r="F21" i="10"/>
  <c r="G21" i="10"/>
  <c r="H21" i="10"/>
  <c r="I21" i="10"/>
  <c r="C22" i="10"/>
  <c r="D22" i="10"/>
  <c r="E22" i="10"/>
  <c r="F22" i="10"/>
  <c r="G22" i="10"/>
  <c r="H22" i="10"/>
  <c r="I22" i="10"/>
  <c r="C23" i="10"/>
  <c r="D23" i="10"/>
  <c r="E23" i="10"/>
  <c r="F23" i="10"/>
  <c r="G23" i="10"/>
  <c r="H23" i="10"/>
  <c r="I23" i="10"/>
  <c r="C24" i="10"/>
  <c r="D24" i="10"/>
  <c r="E24" i="10"/>
  <c r="F24" i="10"/>
  <c r="G24" i="10"/>
  <c r="H24" i="10"/>
  <c r="I24" i="10"/>
  <c r="C25" i="10"/>
  <c r="D25" i="10"/>
  <c r="E25" i="10"/>
  <c r="F25" i="10"/>
  <c r="G25" i="10"/>
  <c r="H25" i="10"/>
  <c r="I25" i="10"/>
  <c r="C26" i="10"/>
  <c r="D26" i="10"/>
  <c r="E26" i="10"/>
  <c r="F26" i="10"/>
  <c r="G26" i="10"/>
  <c r="H26" i="10"/>
  <c r="I26" i="10"/>
  <c r="C27" i="10"/>
  <c r="D27" i="10"/>
  <c r="E27" i="10"/>
  <c r="F27" i="10"/>
  <c r="G27" i="10"/>
  <c r="H27" i="10"/>
  <c r="I27" i="10"/>
  <c r="C28" i="10"/>
  <c r="C29" i="10"/>
  <c r="D29" i="10"/>
  <c r="E29" i="10"/>
  <c r="F29" i="10"/>
  <c r="G29" i="10"/>
  <c r="H29" i="10"/>
  <c r="I29" i="10"/>
  <c r="C30" i="10"/>
  <c r="D30" i="10" s="1"/>
  <c r="E30" i="10" s="1"/>
  <c r="F30" i="10" s="1"/>
  <c r="G30" i="10" s="1"/>
  <c r="H30" i="10" s="1"/>
  <c r="I30" i="10" s="1"/>
  <c r="B36" i="11"/>
  <c r="B37" i="10"/>
  <c r="B38" i="10"/>
  <c r="B39" i="10"/>
  <c r="B40" i="10"/>
  <c r="B41" i="10"/>
  <c r="B42" i="10"/>
  <c r="B43" i="10"/>
  <c r="B44" i="10"/>
  <c r="B45" i="10"/>
  <c r="B46" i="10"/>
  <c r="B47" i="10"/>
  <c r="B36" i="10"/>
  <c r="E43" i="23"/>
  <c r="J43" i="23" s="1"/>
  <c r="C4" i="9"/>
  <c r="D4" i="9"/>
  <c r="E26" i="23" s="1"/>
  <c r="J26" i="23" s="1"/>
  <c r="E4" i="9"/>
  <c r="F4" i="9"/>
  <c r="G4" i="9"/>
  <c r="H4" i="9"/>
  <c r="C5" i="9"/>
  <c r="D5" i="9"/>
  <c r="E15" i="23" s="1"/>
  <c r="J15" i="23" s="1"/>
  <c r="E5" i="9"/>
  <c r="F5" i="9"/>
  <c r="G5" i="9"/>
  <c r="H5" i="9"/>
  <c r="C6" i="9"/>
  <c r="D6" i="9"/>
  <c r="E16" i="23" s="1"/>
  <c r="E23" i="23" s="1"/>
  <c r="E6" i="9"/>
  <c r="F6" i="9"/>
  <c r="G6" i="9"/>
  <c r="H6" i="9"/>
  <c r="C7" i="9"/>
  <c r="D7" i="9"/>
  <c r="E17" i="23" s="1"/>
  <c r="J17" i="23" s="1"/>
  <c r="E7" i="9"/>
  <c r="F7" i="9"/>
  <c r="G7" i="9"/>
  <c r="H7" i="9"/>
  <c r="D9" i="9"/>
  <c r="E20" i="23" s="1"/>
  <c r="J20" i="23" s="1"/>
  <c r="E9" i="9"/>
  <c r="F9" i="9"/>
  <c r="G9" i="9"/>
  <c r="H9" i="9"/>
  <c r="C10" i="9"/>
  <c r="D10" i="9"/>
  <c r="E10" i="9"/>
  <c r="F10" i="9"/>
  <c r="G10" i="9"/>
  <c r="H10" i="9"/>
  <c r="C11" i="9"/>
  <c r="D11" i="9"/>
  <c r="E52" i="23" s="1"/>
  <c r="J52" i="23" s="1"/>
  <c r="E11" i="9"/>
  <c r="F11" i="9"/>
  <c r="G11" i="9"/>
  <c r="H11" i="9"/>
  <c r="C12" i="9"/>
  <c r="D12" i="9"/>
  <c r="E53" i="23" s="1"/>
  <c r="J53" i="23" s="1"/>
  <c r="E12" i="9"/>
  <c r="F12" i="9"/>
  <c r="G12" i="9"/>
  <c r="H12" i="9"/>
  <c r="C13" i="9"/>
  <c r="D13" i="9"/>
  <c r="E54" i="23" s="1"/>
  <c r="J54" i="23" s="1"/>
  <c r="E13" i="9"/>
  <c r="F13" i="9"/>
  <c r="G13" i="9"/>
  <c r="H13" i="9"/>
  <c r="C14" i="9"/>
  <c r="D14" i="9"/>
  <c r="E55" i="23" s="1"/>
  <c r="J55" i="23" s="1"/>
  <c r="E14" i="9"/>
  <c r="F14" i="9"/>
  <c r="G14" i="9"/>
  <c r="H14" i="9"/>
  <c r="C15" i="9"/>
  <c r="D15" i="9"/>
  <c r="E56" i="23" s="1"/>
  <c r="J56" i="23" s="1"/>
  <c r="E15" i="9"/>
  <c r="F15" i="9"/>
  <c r="G15" i="9"/>
  <c r="H15" i="9"/>
  <c r="C16" i="9"/>
  <c r="D16" i="9"/>
  <c r="E57" i="23" s="1"/>
  <c r="J57" i="23" s="1"/>
  <c r="E16" i="9"/>
  <c r="F16" i="9"/>
  <c r="G16" i="9"/>
  <c r="H16" i="9"/>
  <c r="C17" i="9"/>
  <c r="D17" i="9"/>
  <c r="E58" i="23" s="1"/>
  <c r="J58" i="23" s="1"/>
  <c r="E17" i="9"/>
  <c r="F17" i="9"/>
  <c r="G17" i="9"/>
  <c r="H17" i="9"/>
  <c r="C18" i="9"/>
  <c r="D18" i="9"/>
  <c r="E59" i="23" s="1"/>
  <c r="J59" i="23" s="1"/>
  <c r="E18" i="9"/>
  <c r="F18" i="9"/>
  <c r="G18" i="9"/>
  <c r="H18" i="9"/>
  <c r="C19" i="9"/>
  <c r="D19" i="9"/>
  <c r="E60" i="23" s="1"/>
  <c r="J60" i="23" s="1"/>
  <c r="E19" i="9"/>
  <c r="F19" i="9"/>
  <c r="G19" i="9"/>
  <c r="H19" i="9"/>
  <c r="C20" i="9"/>
  <c r="D20" i="9"/>
  <c r="E45" i="23" s="1"/>
  <c r="J45" i="23" s="1"/>
  <c r="E20" i="9"/>
  <c r="F20" i="9"/>
  <c r="G20" i="9"/>
  <c r="H20" i="9"/>
  <c r="C21" i="9"/>
  <c r="D21" i="9"/>
  <c r="E47" i="23" s="1"/>
  <c r="J47" i="23" s="1"/>
  <c r="E21" i="9"/>
  <c r="F21" i="9"/>
  <c r="G21" i="9"/>
  <c r="H21" i="9"/>
  <c r="C22" i="9"/>
  <c r="D22" i="9"/>
  <c r="E31" i="23" s="1"/>
  <c r="J31" i="23" s="1"/>
  <c r="E22" i="9"/>
  <c r="F22" i="9"/>
  <c r="G22" i="9"/>
  <c r="H22" i="9"/>
  <c r="C23" i="9"/>
  <c r="D23" i="9"/>
  <c r="E32" i="23" s="1"/>
  <c r="J32" i="23" s="1"/>
  <c r="E23" i="9"/>
  <c r="F23" i="9"/>
  <c r="G23" i="9"/>
  <c r="H23" i="9"/>
  <c r="C24" i="9"/>
  <c r="D24" i="9"/>
  <c r="E6" i="23" s="1"/>
  <c r="E24" i="9"/>
  <c r="F24" i="9"/>
  <c r="G24" i="9"/>
  <c r="H24" i="9"/>
  <c r="C25" i="9"/>
  <c r="D25" i="9"/>
  <c r="E9" i="23" s="1"/>
  <c r="E25" i="9"/>
  <c r="F25" i="9"/>
  <c r="G25" i="9"/>
  <c r="H25" i="9"/>
  <c r="C26" i="9"/>
  <c r="D26" i="9"/>
  <c r="E7" i="23" s="1"/>
  <c r="E13" i="23" s="1"/>
  <c r="E26" i="9"/>
  <c r="F26" i="9"/>
  <c r="G26" i="9"/>
  <c r="H26" i="9"/>
  <c r="E27" i="9"/>
  <c r="F27" i="9"/>
  <c r="G27" i="9"/>
  <c r="H27" i="9"/>
  <c r="C28" i="9"/>
  <c r="D28" i="9"/>
  <c r="E24" i="23" s="1"/>
  <c r="J24" i="23" s="1"/>
  <c r="E28" i="9"/>
  <c r="F28" i="9"/>
  <c r="G28" i="9"/>
  <c r="H28" i="9"/>
  <c r="B46" i="9"/>
  <c r="B45" i="9"/>
  <c r="B44" i="9"/>
  <c r="B43" i="9"/>
  <c r="B42" i="9"/>
  <c r="B41" i="9"/>
  <c r="B40" i="9"/>
  <c r="B39" i="9"/>
  <c r="B38" i="9"/>
  <c r="B37" i="9"/>
  <c r="B36" i="9"/>
  <c r="M35" i="2"/>
  <c r="L35" i="2"/>
  <c r="K35" i="2"/>
  <c r="J35" i="2"/>
  <c r="H35" i="2"/>
  <c r="G35" i="2"/>
  <c r="F35" i="2"/>
  <c r="E35" i="2"/>
  <c r="D35" i="2"/>
  <c r="M34" i="2"/>
  <c r="L34" i="2"/>
  <c r="K34" i="2"/>
  <c r="J34" i="2"/>
  <c r="I34" i="2"/>
  <c r="H34" i="2"/>
  <c r="G34" i="2"/>
  <c r="F34" i="2"/>
  <c r="E34" i="2"/>
  <c r="M33" i="2"/>
  <c r="L33" i="2"/>
  <c r="K33" i="2"/>
  <c r="I33" i="2"/>
  <c r="H33" i="2"/>
  <c r="G33" i="2"/>
  <c r="F33" i="2"/>
  <c r="E33" i="2"/>
  <c r="D33" i="2"/>
  <c r="M32" i="2"/>
  <c r="L32" i="2"/>
  <c r="K32" i="2"/>
  <c r="I32" i="2"/>
  <c r="H32" i="2"/>
  <c r="G32" i="2"/>
  <c r="F32" i="2"/>
  <c r="E32" i="2"/>
  <c r="D32" i="2"/>
  <c r="M31" i="2"/>
  <c r="L31" i="2"/>
  <c r="K31" i="2"/>
  <c r="J31" i="2"/>
  <c r="I31" i="2"/>
  <c r="H31" i="2"/>
  <c r="G31" i="2"/>
  <c r="E31" i="2"/>
  <c r="D31" i="2"/>
  <c r="M28" i="2"/>
  <c r="L28" i="2"/>
  <c r="K28" i="2"/>
  <c r="J28" i="2"/>
  <c r="I28" i="2"/>
  <c r="H28" i="2"/>
  <c r="G28" i="2"/>
  <c r="D28" i="2"/>
  <c r="M27" i="2"/>
  <c r="L27" i="2"/>
  <c r="K27" i="2"/>
  <c r="J27" i="2"/>
  <c r="I27" i="2"/>
  <c r="H27" i="2"/>
  <c r="G27" i="2"/>
  <c r="D27" i="2"/>
  <c r="M26" i="2"/>
  <c r="L26" i="2"/>
  <c r="K26" i="2"/>
  <c r="J26" i="2"/>
  <c r="I26" i="2"/>
  <c r="H26" i="2"/>
  <c r="G26" i="2"/>
  <c r="D26" i="2"/>
  <c r="M25" i="2"/>
  <c r="L25" i="2"/>
  <c r="K25" i="2"/>
  <c r="J25" i="2"/>
  <c r="I25" i="2"/>
  <c r="H25" i="2"/>
  <c r="G25" i="2"/>
  <c r="F25" i="2"/>
  <c r="D25" i="2"/>
  <c r="M24" i="2"/>
  <c r="L24" i="2"/>
  <c r="K24" i="2"/>
  <c r="J24" i="2"/>
  <c r="I24" i="2"/>
  <c r="H24" i="2"/>
  <c r="G24" i="2"/>
  <c r="F24" i="2"/>
  <c r="D24" i="2"/>
  <c r="M23" i="2"/>
  <c r="L23" i="2"/>
  <c r="K23" i="2"/>
  <c r="J23" i="2"/>
  <c r="I23" i="2"/>
  <c r="H23" i="2"/>
  <c r="G23" i="2"/>
  <c r="F23" i="2"/>
  <c r="D23" i="2"/>
  <c r="M22" i="2"/>
  <c r="L22" i="2"/>
  <c r="K22" i="2"/>
  <c r="J22" i="2"/>
  <c r="I22" i="2"/>
  <c r="H22" i="2"/>
  <c r="G22" i="2"/>
  <c r="F22" i="2"/>
  <c r="D22" i="2"/>
  <c r="M21" i="2"/>
  <c r="L21" i="2"/>
  <c r="K21" i="2"/>
  <c r="J21" i="2"/>
  <c r="I21" i="2"/>
  <c r="H21" i="2"/>
  <c r="G21" i="2"/>
  <c r="F21" i="2"/>
  <c r="D21" i="2"/>
  <c r="M20" i="2"/>
  <c r="L20" i="2"/>
  <c r="K20" i="2"/>
  <c r="J20" i="2"/>
  <c r="I20" i="2"/>
  <c r="H20" i="2"/>
  <c r="G20" i="2"/>
  <c r="F20" i="2"/>
  <c r="D20" i="2"/>
  <c r="M19" i="2"/>
  <c r="L19" i="2"/>
  <c r="K19" i="2"/>
  <c r="J19" i="2"/>
  <c r="I19" i="2"/>
  <c r="H19" i="2"/>
  <c r="G19" i="2"/>
  <c r="F19" i="2"/>
  <c r="D19" i="2"/>
  <c r="M18" i="2"/>
  <c r="L18" i="2"/>
  <c r="K18" i="2"/>
  <c r="J18" i="2"/>
  <c r="I18" i="2"/>
  <c r="H18" i="2"/>
  <c r="G18" i="2"/>
  <c r="F18" i="2"/>
  <c r="D18" i="2"/>
  <c r="M17" i="2"/>
  <c r="L17" i="2"/>
  <c r="K17" i="2"/>
  <c r="J17" i="2"/>
  <c r="I17" i="2"/>
  <c r="F17" i="2"/>
  <c r="D17" i="2"/>
  <c r="M16" i="2"/>
  <c r="L16" i="2"/>
  <c r="K16" i="2"/>
  <c r="J16" i="2"/>
  <c r="I16" i="2"/>
  <c r="F16" i="2"/>
  <c r="M13" i="2"/>
  <c r="L13" i="2"/>
  <c r="K13" i="2"/>
  <c r="J13" i="2"/>
  <c r="I13" i="2"/>
  <c r="H13" i="2"/>
  <c r="G13" i="2"/>
  <c r="F13" i="2"/>
  <c r="E13" i="2"/>
  <c r="D13" i="2"/>
  <c r="M12" i="2"/>
  <c r="L12" i="2"/>
  <c r="K12" i="2"/>
  <c r="J12" i="2"/>
  <c r="I12" i="2"/>
  <c r="H12" i="2"/>
  <c r="G12" i="2"/>
  <c r="E12" i="2"/>
  <c r="D12" i="2"/>
  <c r="M11" i="2"/>
  <c r="L11" i="2"/>
  <c r="K11" i="2"/>
  <c r="J11" i="2"/>
  <c r="I11" i="2"/>
  <c r="H11" i="2"/>
  <c r="G11" i="2"/>
  <c r="F11" i="2"/>
  <c r="E11" i="2"/>
  <c r="D11" i="2"/>
  <c r="M10" i="2"/>
  <c r="L10" i="2"/>
  <c r="K10" i="2"/>
  <c r="J10" i="2"/>
  <c r="I10" i="2"/>
  <c r="F10" i="2"/>
  <c r="D10" i="2"/>
  <c r="M9" i="2"/>
  <c r="L9" i="2"/>
  <c r="K9" i="2"/>
  <c r="J9" i="2"/>
  <c r="I9" i="2"/>
  <c r="H9" i="2"/>
  <c r="F9" i="2"/>
  <c r="D9" i="2"/>
  <c r="M8" i="2"/>
  <c r="L8" i="2"/>
  <c r="K8" i="2"/>
  <c r="J8" i="2"/>
  <c r="I8" i="2"/>
  <c r="G8" i="2"/>
  <c r="F8" i="2"/>
  <c r="E8" i="2"/>
  <c r="D8" i="2"/>
  <c r="M7" i="2"/>
  <c r="L7" i="2"/>
  <c r="K7" i="2"/>
  <c r="J7" i="2"/>
  <c r="I7" i="2"/>
  <c r="D7" i="2"/>
  <c r="M6" i="2"/>
  <c r="L6" i="2"/>
  <c r="K6" i="2"/>
  <c r="J6" i="2"/>
  <c r="I6" i="2"/>
  <c r="I4" i="7"/>
  <c r="E9" i="2" s="1"/>
  <c r="I5" i="7"/>
  <c r="I6" i="7"/>
  <c r="I7" i="7"/>
  <c r="I8" i="7"/>
  <c r="I9" i="7"/>
  <c r="F7" i="2" s="1"/>
  <c r="I10" i="7"/>
  <c r="E17" i="2" s="1"/>
  <c r="I11" i="7"/>
  <c r="H17" i="2" s="1"/>
  <c r="I12" i="7"/>
  <c r="E18" i="2" s="1"/>
  <c r="I13" i="7"/>
  <c r="E19" i="2" s="1"/>
  <c r="I14" i="7"/>
  <c r="E20" i="2" s="1"/>
  <c r="I15" i="7"/>
  <c r="E21" i="2" s="1"/>
  <c r="I16" i="7"/>
  <c r="E22" i="2" s="1"/>
  <c r="I17" i="7"/>
  <c r="E23" i="2" s="1"/>
  <c r="I18" i="7"/>
  <c r="E24" i="2" s="1"/>
  <c r="I19" i="7"/>
  <c r="E25" i="2" s="1"/>
  <c r="I20" i="7"/>
  <c r="E16" i="2" s="1"/>
  <c r="I21" i="7"/>
  <c r="I22" i="7"/>
  <c r="E10" i="2" s="1"/>
  <c r="I23" i="7"/>
  <c r="I24" i="7"/>
  <c r="E6" i="2" s="1"/>
  <c r="I25" i="7"/>
  <c r="I26" i="7"/>
  <c r="I27" i="7"/>
  <c r="I28" i="7"/>
  <c r="H8" i="2" s="1"/>
  <c r="I30" i="7"/>
  <c r="G6" i="2" s="1"/>
  <c r="I31" i="7"/>
  <c r="G7" i="2" s="1"/>
  <c r="I32" i="7"/>
  <c r="G10" i="2" s="1"/>
  <c r="I33" i="7"/>
  <c r="G9" i="2" s="1"/>
  <c r="I34" i="7"/>
  <c r="G16" i="2" s="1"/>
  <c r="I35" i="7"/>
  <c r="G17" i="2" s="1"/>
  <c r="I46" i="7"/>
  <c r="I44" i="7"/>
  <c r="I43" i="7"/>
  <c r="J32" i="2" s="1"/>
  <c r="C68" i="8"/>
  <c r="B68" i="8"/>
  <c r="C52" i="8"/>
  <c r="C50" i="8"/>
  <c r="B50" i="8"/>
  <c r="C49" i="8"/>
  <c r="C48" i="8"/>
  <c r="B48" i="8"/>
  <c r="C46" i="8"/>
  <c r="C44" i="8"/>
  <c r="B40" i="8"/>
  <c r="U40" i="8" s="1"/>
  <c r="C39" i="8"/>
  <c r="C78" i="8"/>
  <c r="B78" i="8"/>
  <c r="S78" i="8" s="1"/>
  <c r="C77" i="8"/>
  <c r="B77" i="8"/>
  <c r="F77" i="8" s="1"/>
  <c r="C76" i="8"/>
  <c r="B76" i="8"/>
  <c r="C75" i="8"/>
  <c r="B75" i="8"/>
  <c r="M75" i="8" s="1"/>
  <c r="C74" i="8"/>
  <c r="B74" i="8"/>
  <c r="K74" i="8" s="1"/>
  <c r="C73" i="8"/>
  <c r="B73" i="8"/>
  <c r="K73" i="8" s="1"/>
  <c r="C72" i="8"/>
  <c r="B72" i="8"/>
  <c r="U72" i="8" s="1"/>
  <c r="C71" i="8"/>
  <c r="B71" i="8"/>
  <c r="M71" i="8" s="1"/>
  <c r="C70" i="8"/>
  <c r="B70" i="8"/>
  <c r="Q70" i="8" s="1"/>
  <c r="C69" i="8"/>
  <c r="B69" i="8"/>
  <c r="U69" i="8" s="1"/>
  <c r="C67" i="8"/>
  <c r="B67" i="8"/>
  <c r="C66" i="8"/>
  <c r="B66" i="8"/>
  <c r="M66" i="8" s="1"/>
  <c r="C65" i="8"/>
  <c r="B65" i="8"/>
  <c r="C64" i="8"/>
  <c r="B64" i="8"/>
  <c r="C63" i="8"/>
  <c r="B63" i="8"/>
  <c r="M63" i="8" s="1"/>
  <c r="C62" i="8"/>
  <c r="B62" i="8"/>
  <c r="Q62" i="8" s="1"/>
  <c r="C61" i="8"/>
  <c r="B61" i="8"/>
  <c r="U61" i="8" s="1"/>
  <c r="C60" i="8"/>
  <c r="B60" i="8"/>
  <c r="M60" i="8" s="1"/>
  <c r="C59" i="8"/>
  <c r="B59" i="8"/>
  <c r="C58" i="8"/>
  <c r="B58" i="8"/>
  <c r="C57" i="8"/>
  <c r="B57" i="8"/>
  <c r="C56" i="8"/>
  <c r="B56" i="8"/>
  <c r="C55" i="8"/>
  <c r="B55" i="8"/>
  <c r="C54" i="8"/>
  <c r="B54" i="8"/>
  <c r="C53" i="8"/>
  <c r="B53" i="8"/>
  <c r="B52" i="8"/>
  <c r="C51" i="8"/>
  <c r="B51" i="8"/>
  <c r="B49" i="8"/>
  <c r="C47" i="8"/>
  <c r="B47" i="8"/>
  <c r="Q47" i="8" s="1"/>
  <c r="B46" i="8"/>
  <c r="C45" i="8"/>
  <c r="B45" i="8"/>
  <c r="B44" i="8"/>
  <c r="C43" i="8"/>
  <c r="B43" i="8"/>
  <c r="U43" i="8" s="1"/>
  <c r="C42" i="8"/>
  <c r="B42" i="8"/>
  <c r="M42" i="8" s="1"/>
  <c r="C41" i="8"/>
  <c r="B41" i="8"/>
  <c r="Q41" i="8" s="1"/>
  <c r="C40" i="8"/>
  <c r="C38" i="8"/>
  <c r="B38" i="8"/>
  <c r="Q38" i="8" s="1"/>
  <c r="C37" i="8"/>
  <c r="B37" i="8"/>
  <c r="D16" i="2"/>
  <c r="D6" i="2"/>
  <c r="BF147" i="13"/>
  <c r="BM137" i="13"/>
  <c r="BM141" i="13" s="1"/>
  <c r="BL137" i="13"/>
  <c r="S41" i="17" s="1"/>
  <c r="S38" i="17" s="1"/>
  <c r="S15" i="17" s="1"/>
  <c r="BI137" i="13"/>
  <c r="BJ136" i="13"/>
  <c r="BI136" i="13"/>
  <c r="BJ134" i="13"/>
  <c r="BJ133" i="13"/>
  <c r="BK133" i="13" s="1"/>
  <c r="BJ132" i="13"/>
  <c r="BK132" i="13" s="1"/>
  <c r="BK136" i="13" s="1"/>
  <c r="BL130" i="13"/>
  <c r="BL138" i="13" s="1"/>
  <c r="AK85" i="13" s="1"/>
  <c r="BK130" i="13"/>
  <c r="BI130" i="13"/>
  <c r="BI138" i="13" s="1"/>
  <c r="BI146" i="13" s="1"/>
  <c r="BH130" i="13"/>
  <c r="BH138" i="13" s="1"/>
  <c r="BM129" i="13"/>
  <c r="BM130" i="13" s="1"/>
  <c r="BM138" i="13" s="1"/>
  <c r="BJ129" i="13"/>
  <c r="BJ130" i="13" s="1"/>
  <c r="BI129" i="13"/>
  <c r="BM128" i="13"/>
  <c r="BM136" i="13" s="1"/>
  <c r="BL128" i="13"/>
  <c r="BL136" i="13" s="1"/>
  <c r="BK128" i="13"/>
  <c r="BJ128" i="13"/>
  <c r="BI128" i="13"/>
  <c r="BH128" i="13"/>
  <c r="BH136" i="13" s="1"/>
  <c r="AL124" i="13"/>
  <c r="AL125" i="13" s="1"/>
  <c r="AN123" i="13"/>
  <c r="AN124" i="13" s="1"/>
  <c r="AN125" i="13" s="1"/>
  <c r="BE68" i="13"/>
  <c r="BC68" i="13"/>
  <c r="BB68" i="13"/>
  <c r="BA68" i="13"/>
  <c r="AZ68" i="13"/>
  <c r="AY68" i="13"/>
  <c r="AX68" i="13"/>
  <c r="AW68" i="13"/>
  <c r="AV68" i="13"/>
  <c r="AU68" i="13"/>
  <c r="AT68" i="13"/>
  <c r="AS68" i="13"/>
  <c r="AR68" i="13"/>
  <c r="AQ68" i="13"/>
  <c r="AP68" i="13"/>
  <c r="AO68" i="13"/>
  <c r="AN68" i="13"/>
  <c r="AM68" i="13"/>
  <c r="AL68" i="13"/>
  <c r="AI68" i="13"/>
  <c r="AH68" i="13"/>
  <c r="AG68" i="13"/>
  <c r="I45" i="7" s="1"/>
  <c r="D34" i="2" s="1"/>
  <c r="AF68" i="13"/>
  <c r="G117" i="12"/>
  <c r="H105" i="12"/>
  <c r="I102" i="12"/>
  <c r="J102" i="12" s="1"/>
  <c r="I101" i="12"/>
  <c r="J101" i="12" s="1"/>
  <c r="I100" i="12"/>
  <c r="J100" i="12" s="1"/>
  <c r="O99" i="12"/>
  <c r="N98" i="12"/>
  <c r="O98" i="12" s="1"/>
  <c r="K98" i="12"/>
  <c r="H98" i="12"/>
  <c r="O96" i="12"/>
  <c r="I96" i="12"/>
  <c r="J89" i="12"/>
  <c r="I89" i="12"/>
  <c r="H89" i="12"/>
  <c r="H92" i="12" s="1"/>
  <c r="I87" i="12"/>
  <c r="I88" i="12" s="1"/>
  <c r="H87" i="12"/>
  <c r="M86" i="12"/>
  <c r="J85" i="12"/>
  <c r="J88" i="12" s="1"/>
  <c r="I85" i="12"/>
  <c r="H85" i="12"/>
  <c r="I82" i="12"/>
  <c r="L74" i="12"/>
  <c r="AG47" i="12"/>
  <c r="X38" i="12"/>
  <c r="W38" i="12"/>
  <c r="X37" i="12"/>
  <c r="W37" i="12"/>
  <c r="AC36" i="12"/>
  <c r="X36" i="12"/>
  <c r="W36" i="12"/>
  <c r="AC35" i="12"/>
  <c r="X35" i="12"/>
  <c r="W35" i="12"/>
  <c r="AC34" i="12"/>
  <c r="X34" i="12"/>
  <c r="W34" i="12"/>
  <c r="AC33" i="12"/>
  <c r="X33" i="12"/>
  <c r="W33" i="12"/>
  <c r="AC32" i="12"/>
  <c r="X32" i="12"/>
  <c r="W32" i="12"/>
  <c r="AC31" i="12"/>
  <c r="X31" i="12"/>
  <c r="W31" i="12"/>
  <c r="AC30" i="12"/>
  <c r="X30" i="12"/>
  <c r="W30" i="12"/>
  <c r="AC29" i="12"/>
  <c r="X29" i="12"/>
  <c r="W29" i="12"/>
  <c r="AC28" i="12"/>
  <c r="X28" i="12"/>
  <c r="W28" i="12"/>
  <c r="AC27" i="12"/>
  <c r="X27" i="12"/>
  <c r="W27" i="12"/>
  <c r="H14" i="12"/>
  <c r="P5" i="12"/>
  <c r="B22" i="9"/>
  <c r="B23" i="9"/>
  <c r="B24" i="9"/>
  <c r="B25" i="9"/>
  <c r="B26" i="9"/>
  <c r="B33" i="9"/>
  <c r="B32" i="9"/>
  <c r="C21" i="8"/>
  <c r="B21" i="8"/>
  <c r="B22" i="8"/>
  <c r="J75" i="18" l="1"/>
  <c r="O78" i="8"/>
  <c r="T78" i="8"/>
  <c r="J34" i="18"/>
  <c r="J26" i="18"/>
  <c r="L74" i="8"/>
  <c r="J23" i="18"/>
  <c r="J45" i="18"/>
  <c r="U78" i="8"/>
  <c r="J78" i="18"/>
  <c r="J77" i="18"/>
  <c r="O9" i="27"/>
  <c r="O24" i="27" s="1"/>
  <c r="P9" i="27"/>
  <c r="P24" i="27" s="1"/>
  <c r="T46" i="26" a="1"/>
  <c r="T46" i="26" s="1"/>
  <c r="T41" i="26" a="1"/>
  <c r="T41" i="26" s="1"/>
  <c r="T74" i="26" a="1"/>
  <c r="T74" i="26" s="1"/>
  <c r="V85" i="22" s="1"/>
  <c r="T56" i="26" a="1"/>
  <c r="T56" i="26" s="1"/>
  <c r="T76" i="26" a="1"/>
  <c r="T76" i="26" s="1"/>
  <c r="AB76" i="26" s="1"/>
  <c r="Z87" i="22" s="1"/>
  <c r="T72" i="26" a="1"/>
  <c r="T72" i="26" s="1"/>
  <c r="T34" i="26" a="1"/>
  <c r="T34" i="26" s="1"/>
  <c r="T75" i="26" a="1"/>
  <c r="T75" i="26" s="1"/>
  <c r="T69" i="26" a="1"/>
  <c r="T69" i="26" s="1"/>
  <c r="AB69" i="26" s="1"/>
  <c r="Z80" i="22" s="1"/>
  <c r="T73" i="26" a="1"/>
  <c r="T73" i="26" s="1"/>
  <c r="T70" i="26" a="1"/>
  <c r="T70" i="26" s="1"/>
  <c r="T71" i="26" a="1"/>
  <c r="T71" i="26" s="1"/>
  <c r="T68" i="26" a="1"/>
  <c r="T68" i="26" s="1"/>
  <c r="K66" i="19"/>
  <c r="J9" i="23"/>
  <c r="E10" i="23"/>
  <c r="L31" i="19"/>
  <c r="AD42" i="17"/>
  <c r="AD42" i="12"/>
  <c r="AH12" i="24"/>
  <c r="AJ61" i="24"/>
  <c r="AJ67" i="24"/>
  <c r="AL101" i="24"/>
  <c r="E63" i="19"/>
  <c r="E58" i="19"/>
  <c r="E64" i="19"/>
  <c r="E62" i="19"/>
  <c r="AH9" i="24"/>
  <c r="AH103" i="24"/>
  <c r="J96" i="12"/>
  <c r="J98" i="12" s="1"/>
  <c r="I98" i="12"/>
  <c r="H48" i="18"/>
  <c r="J48" i="18"/>
  <c r="H68" i="18"/>
  <c r="G68" i="18"/>
  <c r="I72" i="18"/>
  <c r="J72" i="18"/>
  <c r="F62" i="19"/>
  <c r="F58" i="19"/>
  <c r="F64" i="19"/>
  <c r="V34" i="22"/>
  <c r="AH10" i="24"/>
  <c r="AH24" i="24"/>
  <c r="AH98" i="24"/>
  <c r="O120" i="22"/>
  <c r="AH61" i="24"/>
  <c r="AH67" i="24"/>
  <c r="AJ98" i="24"/>
  <c r="AJ101" i="24"/>
  <c r="AI51" i="24"/>
  <c r="F63" i="19"/>
  <c r="AD10" i="24"/>
  <c r="AK12" i="24"/>
  <c r="AF26" i="24"/>
  <c r="AI26" i="24"/>
  <c r="AM99" i="24"/>
  <c r="AL63" i="24"/>
  <c r="AL85" i="24"/>
  <c r="AL102" i="24"/>
  <c r="H82" i="12"/>
  <c r="H90" i="12"/>
  <c r="K37" i="8"/>
  <c r="R37" i="8"/>
  <c r="P37" i="8"/>
  <c r="Q37" i="8"/>
  <c r="M65" i="8"/>
  <c r="L65" i="8"/>
  <c r="K65" i="8"/>
  <c r="J30" i="19"/>
  <c r="G78" i="19"/>
  <c r="G77" i="19"/>
  <c r="J65" i="26"/>
  <c r="J91" i="26" s="1"/>
  <c r="I83" i="26"/>
  <c r="J83" i="26" s="1"/>
  <c r="K83" i="26" s="1"/>
  <c r="AM63" i="24"/>
  <c r="AM85" i="24"/>
  <c r="AM102" i="24"/>
  <c r="M78" i="8"/>
  <c r="R78" i="8"/>
  <c r="H88" i="17"/>
  <c r="L85" i="17"/>
  <c r="L86" i="17" s="1"/>
  <c r="H36" i="19"/>
  <c r="H31" i="19"/>
  <c r="M37" i="8"/>
  <c r="E27" i="19"/>
  <c r="E26" i="19"/>
  <c r="AH25" i="24"/>
  <c r="AK61" i="24"/>
  <c r="AM73" i="24"/>
  <c r="I39" i="19"/>
  <c r="F27" i="19"/>
  <c r="F26" i="19"/>
  <c r="AJ102" i="24"/>
  <c r="AI6" i="24"/>
  <c r="AM8" i="24"/>
  <c r="AD11" i="24"/>
  <c r="AM24" i="24"/>
  <c r="AM61" i="24"/>
  <c r="AK67" i="24"/>
  <c r="AI76" i="24"/>
  <c r="AD103" i="24"/>
  <c r="AI103" i="24" s="1"/>
  <c r="AL61" i="24"/>
  <c r="AI12" i="24"/>
  <c r="AI32" i="24"/>
  <c r="H99" i="12"/>
  <c r="N99" i="12"/>
  <c r="P96" i="12"/>
  <c r="L34" i="19"/>
  <c r="AE38" i="12"/>
  <c r="AE38" i="17"/>
  <c r="AD26" i="17"/>
  <c r="C27" i="19"/>
  <c r="C26" i="19"/>
  <c r="L76" i="19"/>
  <c r="L78" i="19" s="1"/>
  <c r="H88" i="12"/>
  <c r="H93" i="12"/>
  <c r="N37" i="8"/>
  <c r="BI141" i="13"/>
  <c r="O37" i="8"/>
  <c r="I33" i="19"/>
  <c r="H66" i="19"/>
  <c r="H68" i="19" s="1"/>
  <c r="E73" i="19"/>
  <c r="AH8" i="24"/>
  <c r="AL25" i="24"/>
  <c r="AH74" i="24"/>
  <c r="R24" i="27"/>
  <c r="P11" i="27"/>
  <c r="P14" i="27"/>
  <c r="Q29" i="27"/>
  <c r="BM142" i="13"/>
  <c r="BH137" i="13"/>
  <c r="J38" i="18"/>
  <c r="H25" i="19"/>
  <c r="H27" i="19" s="1"/>
  <c r="D26" i="19"/>
  <c r="D27" i="19"/>
  <c r="G62" i="19"/>
  <c r="G58" i="19"/>
  <c r="G74" i="19"/>
  <c r="G73" i="19"/>
  <c r="AJ8" i="24"/>
  <c r="AJ74" i="24"/>
  <c r="AK26" i="24"/>
  <c r="AK63" i="24"/>
  <c r="AM75" i="24"/>
  <c r="AK85" i="24"/>
  <c r="AK102" i="24"/>
  <c r="H94" i="12"/>
  <c r="J15" i="18"/>
  <c r="AE35" i="17"/>
  <c r="AD44" i="17"/>
  <c r="AD41" i="17" s="1"/>
  <c r="AE43" i="17" s="1"/>
  <c r="AD44" i="12"/>
  <c r="AD41" i="12" s="1"/>
  <c r="AE43" i="12" s="1"/>
  <c r="AH16" i="24"/>
  <c r="AH26" i="24"/>
  <c r="AJ85" i="24"/>
  <c r="AK31" i="24"/>
  <c r="S11" i="29"/>
  <c r="AH85" i="24"/>
  <c r="J54" i="26"/>
  <c r="K54" i="26" s="1"/>
  <c r="J17" i="26"/>
  <c r="K17" i="26" s="1"/>
  <c r="AK38" i="24"/>
  <c r="N46" i="26" a="1"/>
  <c r="N46" i="26" s="1"/>
  <c r="N76" i="26" a="1"/>
  <c r="N76" i="26" s="1"/>
  <c r="N56" i="26" a="1"/>
  <c r="N56" i="26" s="1"/>
  <c r="N74" i="26" a="1"/>
  <c r="N74" i="26" s="1"/>
  <c r="V74" i="26" s="1"/>
  <c r="W85" i="22" s="1"/>
  <c r="N75" i="26" a="1"/>
  <c r="N75" i="26" s="1"/>
  <c r="V75" i="26" s="1"/>
  <c r="W86" i="22" s="1"/>
  <c r="N69" i="26" a="1"/>
  <c r="N69" i="26" s="1"/>
  <c r="V69" i="26" s="1"/>
  <c r="W80" i="22" s="1"/>
  <c r="N73" i="26" a="1"/>
  <c r="N73" i="26" s="1"/>
  <c r="P84" i="22" s="1"/>
  <c r="N68" i="26" a="1"/>
  <c r="N68" i="26" s="1"/>
  <c r="N34" i="26" a="1"/>
  <c r="N34" i="26" s="1"/>
  <c r="N41" i="26" a="1"/>
  <c r="N41" i="26" s="1"/>
  <c r="N72" i="26" a="1"/>
  <c r="N72" i="26" s="1"/>
  <c r="V72" i="26" s="1"/>
  <c r="W83" i="22" s="1"/>
  <c r="N70" i="26" a="1"/>
  <c r="N70" i="26" s="1"/>
  <c r="N71" i="26" a="1"/>
  <c r="N71" i="26" s="1"/>
  <c r="Q11" i="29"/>
  <c r="J10" i="18"/>
  <c r="K37" i="19"/>
  <c r="C48" i="19"/>
  <c r="C55" i="19" s="1"/>
  <c r="C46" i="19"/>
  <c r="C43" i="19"/>
  <c r="AJ16" i="24"/>
  <c r="AH32" i="24"/>
  <c r="AH63" i="24"/>
  <c r="AK16" i="24"/>
  <c r="AM31" i="24"/>
  <c r="AD34" i="24"/>
  <c r="AM103" i="24"/>
  <c r="J11" i="29"/>
  <c r="R11" i="29" s="1"/>
  <c r="BK137" i="13"/>
  <c r="I88" i="17"/>
  <c r="D49" i="19"/>
  <c r="D46" i="19"/>
  <c r="D48" i="19"/>
  <c r="D55" i="19" s="1"/>
  <c r="D43" i="19"/>
  <c r="D44" i="19"/>
  <c r="D54" i="19" s="1"/>
  <c r="D40" i="19"/>
  <c r="G64" i="19"/>
  <c r="AJ32" i="24"/>
  <c r="AJ38" i="24"/>
  <c r="AJ63" i="24"/>
  <c r="AK9" i="24"/>
  <c r="AK41" i="24"/>
  <c r="AK101" i="24"/>
  <c r="R42" i="27"/>
  <c r="Q9" i="26" s="1"/>
  <c r="Q45" i="26" s="1" a="1"/>
  <c r="Q45" i="26" s="1"/>
  <c r="S27" i="27"/>
  <c r="P22" i="27"/>
  <c r="BL140" i="13"/>
  <c r="BJ138" i="13"/>
  <c r="BJ146" i="13" s="1"/>
  <c r="H72" i="19"/>
  <c r="H73" i="19" s="1"/>
  <c r="H74" i="19"/>
  <c r="E40" i="19"/>
  <c r="E48" i="19"/>
  <c r="E55" i="19" s="1"/>
  <c r="E43" i="19"/>
  <c r="C58" i="19"/>
  <c r="C63" i="19"/>
  <c r="C64" i="19"/>
  <c r="C59" i="19"/>
  <c r="C70" i="19"/>
  <c r="AM9" i="24"/>
  <c r="AD12" i="24"/>
  <c r="AM12" i="24" s="1"/>
  <c r="AK14" i="24"/>
  <c r="AD32" i="24"/>
  <c r="AK32" i="24" s="1"/>
  <c r="AM41" i="24"/>
  <c r="AK51" i="24"/>
  <c r="AM62" i="24"/>
  <c r="AD87" i="24"/>
  <c r="AM87" i="24" s="1"/>
  <c r="S42" i="27"/>
  <c r="R9" i="26" s="1"/>
  <c r="J62" i="18"/>
  <c r="F48" i="19"/>
  <c r="F55" i="19" s="1"/>
  <c r="F43" i="19"/>
  <c r="F53" i="19" s="1"/>
  <c r="F49" i="19"/>
  <c r="D67" i="19"/>
  <c r="D59" i="19"/>
  <c r="D70" i="19"/>
  <c r="AH102" i="24"/>
  <c r="J18" i="23"/>
  <c r="E19" i="23"/>
  <c r="AK7" i="24"/>
  <c r="AK23" i="24"/>
  <c r="AK99" i="24"/>
  <c r="AF102" i="24"/>
  <c r="T42" i="27"/>
  <c r="S9" i="26" s="1"/>
  <c r="P42" i="27"/>
  <c r="O9" i="26" s="1"/>
  <c r="O45" i="26" s="1" a="1"/>
  <c r="O45" i="26" s="1"/>
  <c r="P12" i="27"/>
  <c r="Q27" i="27" s="1"/>
  <c r="V31" i="27"/>
  <c r="D58" i="19"/>
  <c r="AD9" i="24"/>
  <c r="AI9" i="24" s="1"/>
  <c r="AD25" i="24"/>
  <c r="AM25" i="24" s="1"/>
  <c r="AD41" i="24"/>
  <c r="AD62" i="24"/>
  <c r="AD80" i="24"/>
  <c r="AM80" i="24" s="1"/>
  <c r="Q42" i="27"/>
  <c r="P9" i="26" s="1"/>
  <c r="P17" i="27"/>
  <c r="R32" i="27" s="1"/>
  <c r="H13" i="29"/>
  <c r="P13" i="29" s="1"/>
  <c r="AE35" i="12"/>
  <c r="AD14" i="24"/>
  <c r="AM14" i="24" s="1"/>
  <c r="AD51" i="24"/>
  <c r="AM51" i="24" s="1"/>
  <c r="AD15" i="24"/>
  <c r="AL15" i="24" s="1"/>
  <c r="AD35" i="24"/>
  <c r="AK35" i="24" s="1"/>
  <c r="AD73" i="24"/>
  <c r="S24" i="27"/>
  <c r="R26" i="27"/>
  <c r="O16" i="27"/>
  <c r="P16" i="27"/>
  <c r="O18" i="29"/>
  <c r="N3" i="26" s="1"/>
  <c r="V86" i="22"/>
  <c r="AD8" i="24"/>
  <c r="AI8" i="24" s="1"/>
  <c r="AF67" i="24"/>
  <c r="T24" i="27"/>
  <c r="S26" i="27"/>
  <c r="S29" i="27"/>
  <c r="R31" i="27"/>
  <c r="P19" i="27"/>
  <c r="P34" i="27" s="1"/>
  <c r="Q34" i="27"/>
  <c r="AD67" i="24"/>
  <c r="AI67" i="24" s="1"/>
  <c r="U24" i="27"/>
  <c r="T26" i="27"/>
  <c r="T29" i="27"/>
  <c r="S31" i="27"/>
  <c r="R34" i="27"/>
  <c r="V37" i="27"/>
  <c r="V87" i="22"/>
  <c r="AD24" i="24"/>
  <c r="AI24" i="24" s="1"/>
  <c r="AD6" i="24"/>
  <c r="AF31" i="24"/>
  <c r="AH14" i="24"/>
  <c r="AH51" i="24"/>
  <c r="V24" i="27"/>
  <c r="U26" i="27"/>
  <c r="U29" i="27"/>
  <c r="T31" i="27"/>
  <c r="S34" i="27"/>
  <c r="P21" i="27"/>
  <c r="Q36" i="27"/>
  <c r="L73" i="8"/>
  <c r="M73" i="8"/>
  <c r="S37" i="8"/>
  <c r="F75" i="8"/>
  <c r="T37" i="8"/>
  <c r="F37" i="8"/>
  <c r="M41" i="8"/>
  <c r="F78" i="8"/>
  <c r="G37" i="8"/>
  <c r="R41" i="8"/>
  <c r="H37" i="8"/>
  <c r="S41" i="8"/>
  <c r="P78" i="8"/>
  <c r="L37" i="8"/>
  <c r="N42" i="8"/>
  <c r="Q78" i="8"/>
  <c r="O117" i="22"/>
  <c r="U16" i="22"/>
  <c r="W58" i="22"/>
  <c r="Z28" i="22"/>
  <c r="Z32" i="22"/>
  <c r="R32" i="22"/>
  <c r="X56" i="22"/>
  <c r="T38" i="22"/>
  <c r="U38" i="22"/>
  <c r="Y56" i="22"/>
  <c r="Q32" i="22"/>
  <c r="U48" i="22"/>
  <c r="W16" i="22"/>
  <c r="X16" i="22"/>
  <c r="V28" i="22"/>
  <c r="V38" i="22"/>
  <c r="Z56" i="22"/>
  <c r="X58" i="22"/>
  <c r="S32" i="22"/>
  <c r="P54" i="22"/>
  <c r="W38" i="22"/>
  <c r="T32" i="22"/>
  <c r="Q54" i="22"/>
  <c r="X38" i="22"/>
  <c r="P16" i="22"/>
  <c r="T58" i="22"/>
  <c r="Y38" i="22"/>
  <c r="Q16" i="22"/>
  <c r="P38" i="22"/>
  <c r="U58" i="22"/>
  <c r="Z38" i="22"/>
  <c r="R16" i="22"/>
  <c r="Q38" i="22"/>
  <c r="V58" i="22"/>
  <c r="Y47" i="22"/>
  <c r="S16" i="22"/>
  <c r="R38" i="22"/>
  <c r="P105" i="22"/>
  <c r="T16" i="22"/>
  <c r="S38" i="22"/>
  <c r="Q105" i="22"/>
  <c r="S45" i="26" a="1"/>
  <c r="S45" i="26" s="1"/>
  <c r="R45" i="26" a="1"/>
  <c r="R45" i="26" s="1"/>
  <c r="N45" i="26" a="1"/>
  <c r="N45" i="26" s="1"/>
  <c r="P45" i="26" a="1"/>
  <c r="P45" i="26" s="1"/>
  <c r="X45" i="26" s="1"/>
  <c r="X49" i="22" s="1"/>
  <c r="T45" i="26" a="1"/>
  <c r="T45" i="26" s="1"/>
  <c r="O14" i="27"/>
  <c r="J22" i="26"/>
  <c r="H12" i="29"/>
  <c r="P12" i="29" s="1"/>
  <c r="O2" i="26" s="1"/>
  <c r="O32" i="26" s="1" a="1"/>
  <c r="O32" i="26" s="1"/>
  <c r="H17" i="29"/>
  <c r="P17" i="29" s="1"/>
  <c r="H19" i="29"/>
  <c r="P19" i="29" s="1"/>
  <c r="U18" i="29"/>
  <c r="T3" i="26" s="1"/>
  <c r="AB41" i="26"/>
  <c r="Z43" i="22" s="1"/>
  <c r="AB68" i="26"/>
  <c r="Z79" i="22" s="1"/>
  <c r="V76" i="26"/>
  <c r="W87" i="22" s="1"/>
  <c r="J85" i="26"/>
  <c r="K33" i="26"/>
  <c r="K37" i="26" s="1"/>
  <c r="K29" i="26"/>
  <c r="V70" i="26"/>
  <c r="W81" i="22" s="1"/>
  <c r="K31" i="26"/>
  <c r="J66" i="26"/>
  <c r="K65" i="26"/>
  <c r="AB74" i="26"/>
  <c r="Z85" i="22" s="1"/>
  <c r="AB56" i="26"/>
  <c r="Z65" i="22" s="1"/>
  <c r="V41" i="26"/>
  <c r="W43" i="22" s="1"/>
  <c r="V56" i="26"/>
  <c r="W65" i="22" s="1"/>
  <c r="V73" i="26"/>
  <c r="W84" i="22" s="1"/>
  <c r="AB73" i="26"/>
  <c r="Z84" i="22" s="1"/>
  <c r="AJ19" i="29"/>
  <c r="AG19" i="29"/>
  <c r="J19" i="29"/>
  <c r="AI19" i="29"/>
  <c r="AH19" i="29"/>
  <c r="N19" i="29"/>
  <c r="M19" i="29"/>
  <c r="U19" i="29" s="1"/>
  <c r="I19" i="29"/>
  <c r="Q19" i="29" s="1"/>
  <c r="AF19" i="29"/>
  <c r="AC19" i="29"/>
  <c r="AB19" i="29"/>
  <c r="AE19" i="29"/>
  <c r="L19" i="29"/>
  <c r="AD19" i="29"/>
  <c r="K19" i="29"/>
  <c r="AA19" i="29"/>
  <c r="G19" i="29"/>
  <c r="Z19" i="29"/>
  <c r="AK19" i="29"/>
  <c r="Y19" i="29"/>
  <c r="Z17" i="29"/>
  <c r="AD17" i="29"/>
  <c r="AK17" i="29"/>
  <c r="Y17" i="29"/>
  <c r="AI17" i="29"/>
  <c r="G17" i="29" s="1"/>
  <c r="AE17" i="29"/>
  <c r="AJ17" i="29"/>
  <c r="AH17" i="29"/>
  <c r="K17" i="29"/>
  <c r="L17" i="29"/>
  <c r="AG17" i="29"/>
  <c r="N17" i="29"/>
  <c r="AF17" i="29"/>
  <c r="M17" i="29"/>
  <c r="AC17" i="29"/>
  <c r="J17" i="29"/>
  <c r="AB17" i="29"/>
  <c r="I17" i="29"/>
  <c r="AA17" i="29"/>
  <c r="AB12" i="29"/>
  <c r="I12" i="29"/>
  <c r="AK12" i="29"/>
  <c r="M12" i="29"/>
  <c r="U12" i="29" s="1"/>
  <c r="T2" i="26" s="1"/>
  <c r="T32" i="26" s="1" a="1"/>
  <c r="T32" i="26" s="1"/>
  <c r="AA12" i="29"/>
  <c r="Y12" i="29"/>
  <c r="AJ12" i="29"/>
  <c r="Z12" i="29"/>
  <c r="N12" i="29"/>
  <c r="AG12" i="29"/>
  <c r="AI12" i="29"/>
  <c r="G12" i="29" s="1"/>
  <c r="AH12" i="29"/>
  <c r="AE12" i="29"/>
  <c r="L12" i="29"/>
  <c r="K12" i="29"/>
  <c r="S12" i="29" s="1"/>
  <c r="R2" i="26" s="1"/>
  <c r="R32" i="26" s="1" a="1"/>
  <c r="R32" i="26" s="1"/>
  <c r="AD12" i="29"/>
  <c r="J12" i="29"/>
  <c r="R12" i="29" s="1"/>
  <c r="Q2" i="26" s="1"/>
  <c r="Q32" i="26" s="1" a="1"/>
  <c r="Q32" i="26" s="1"/>
  <c r="AC12" i="29"/>
  <c r="AF12" i="29"/>
  <c r="AG13" i="29"/>
  <c r="N13" i="29"/>
  <c r="AD13" i="29"/>
  <c r="AC13" i="29"/>
  <c r="AF13" i="29"/>
  <c r="M13" i="29"/>
  <c r="J13" i="29"/>
  <c r="AE13" i="29"/>
  <c r="L13" i="29"/>
  <c r="T13" i="29" s="1"/>
  <c r="K13" i="29"/>
  <c r="S13" i="29" s="1"/>
  <c r="AK13" i="29"/>
  <c r="Y13" i="29"/>
  <c r="AB13" i="29"/>
  <c r="I13" i="29"/>
  <c r="Q13" i="29" s="1"/>
  <c r="AA13" i="29"/>
  <c r="Z13" i="29"/>
  <c r="AJ13" i="29"/>
  <c r="AI13" i="29"/>
  <c r="G13" i="29" s="1"/>
  <c r="AH13" i="29"/>
  <c r="AB71" i="26"/>
  <c r="Z82" i="22" s="1"/>
  <c r="V46" i="26"/>
  <c r="W50" i="22" s="1"/>
  <c r="AB70" i="26"/>
  <c r="Z81" i="22" s="1"/>
  <c r="V65" i="22"/>
  <c r="AB34" i="26"/>
  <c r="Z34" i="22" s="1"/>
  <c r="V81" i="22"/>
  <c r="V71" i="26"/>
  <c r="W82" i="22" s="1"/>
  <c r="AB75" i="26"/>
  <c r="Z86" i="22" s="1"/>
  <c r="P87" i="22"/>
  <c r="V50" i="22"/>
  <c r="AB46" i="26"/>
  <c r="Z50" i="22" s="1"/>
  <c r="V34" i="26"/>
  <c r="W34" i="22" s="1"/>
  <c r="P34" i="22"/>
  <c r="V79" i="22"/>
  <c r="S17" i="22"/>
  <c r="I27" i="22"/>
  <c r="Z27" i="22"/>
  <c r="Y27" i="22"/>
  <c r="X27" i="22"/>
  <c r="W27" i="22"/>
  <c r="I31" i="22"/>
  <c r="V31" i="22"/>
  <c r="X31" i="22"/>
  <c r="Z31" i="22"/>
  <c r="U31" i="22"/>
  <c r="Y31" i="22"/>
  <c r="T31" i="22"/>
  <c r="S31" i="22"/>
  <c r="P43" i="22"/>
  <c r="V43" i="22"/>
  <c r="I47" i="22"/>
  <c r="U47" i="22"/>
  <c r="R47" i="22"/>
  <c r="V47" i="22"/>
  <c r="T47" i="22"/>
  <c r="S47" i="22"/>
  <c r="I55" i="22"/>
  <c r="P55" i="22"/>
  <c r="X55" i="22"/>
  <c r="R55" i="22"/>
  <c r="W55" i="22"/>
  <c r="Q55" i="22"/>
  <c r="O59" i="22"/>
  <c r="V59" i="22"/>
  <c r="U59" i="22"/>
  <c r="X59" i="22"/>
  <c r="W59" i="22"/>
  <c r="T59" i="22"/>
  <c r="S59" i="22"/>
  <c r="R59" i="22"/>
  <c r="O67" i="22"/>
  <c r="P67" i="22"/>
  <c r="V67" i="22"/>
  <c r="X67" i="22"/>
  <c r="U67" i="22"/>
  <c r="Z67" i="22"/>
  <c r="T67" i="22"/>
  <c r="Y67" i="22"/>
  <c r="S67" i="22"/>
  <c r="R67" i="22"/>
  <c r="P27" i="22"/>
  <c r="P80" i="22"/>
  <c r="Q67" i="22"/>
  <c r="R105" i="22"/>
  <c r="Y59" i="22"/>
  <c r="I32" i="22"/>
  <c r="U32" i="22"/>
  <c r="X32" i="22"/>
  <c r="P32" i="22"/>
  <c r="W32" i="22"/>
  <c r="O48" i="22"/>
  <c r="Z48" i="22"/>
  <c r="Q48" i="22"/>
  <c r="Y48" i="22"/>
  <c r="X48" i="22"/>
  <c r="W48" i="22"/>
  <c r="P48" i="22"/>
  <c r="O60" i="22"/>
  <c r="Z60" i="22"/>
  <c r="Q60" i="22"/>
  <c r="Y60" i="22"/>
  <c r="P60" i="22"/>
  <c r="X60" i="22"/>
  <c r="W60" i="22"/>
  <c r="S60" i="22"/>
  <c r="R60" i="22"/>
  <c r="O68" i="22"/>
  <c r="U68" i="22"/>
  <c r="T68" i="22"/>
  <c r="S68" i="22"/>
  <c r="R68" i="22"/>
  <c r="X68" i="22"/>
  <c r="W68" i="22"/>
  <c r="P81" i="22"/>
  <c r="S27" i="22"/>
  <c r="P47" i="22"/>
  <c r="S55" i="22"/>
  <c r="P59" i="22"/>
  <c r="P68" i="22"/>
  <c r="Z59" i="22"/>
  <c r="T27" i="22"/>
  <c r="Q47" i="22"/>
  <c r="T55" i="22"/>
  <c r="Q59" i="22"/>
  <c r="Q68" i="22"/>
  <c r="V84" i="22"/>
  <c r="W67" i="22"/>
  <c r="R27" i="22"/>
  <c r="H28" i="22"/>
  <c r="X28" i="22"/>
  <c r="T28" i="22"/>
  <c r="P28" i="22"/>
  <c r="W28" i="22"/>
  <c r="S28" i="22"/>
  <c r="R28" i="22"/>
  <c r="Q28" i="22"/>
  <c r="P82" i="22"/>
  <c r="V82" i="22"/>
  <c r="P86" i="22"/>
  <c r="U27" i="22"/>
  <c r="R48" i="22"/>
  <c r="U55" i="22"/>
  <c r="T60" i="22"/>
  <c r="V68" i="22"/>
  <c r="Y68" i="22"/>
  <c r="I17" i="22"/>
  <c r="Z17" i="22"/>
  <c r="Y17" i="22"/>
  <c r="X17" i="22"/>
  <c r="W17" i="22"/>
  <c r="R17" i="22"/>
  <c r="Q17" i="22"/>
  <c r="P17" i="22"/>
  <c r="U17" i="22"/>
  <c r="O57" i="22"/>
  <c r="Z57" i="22"/>
  <c r="Y57" i="22"/>
  <c r="X57" i="22"/>
  <c r="W57" i="22"/>
  <c r="P65" i="22"/>
  <c r="V27" i="22"/>
  <c r="P31" i="22"/>
  <c r="S48" i="22"/>
  <c r="V55" i="22"/>
  <c r="U60" i="22"/>
  <c r="W31" i="22"/>
  <c r="W47" i="22"/>
  <c r="Y55" i="22"/>
  <c r="Z68" i="22"/>
  <c r="I39" i="22"/>
  <c r="Z39" i="22"/>
  <c r="T39" i="22"/>
  <c r="Y39" i="22"/>
  <c r="X39" i="22"/>
  <c r="W39" i="22"/>
  <c r="Q39" i="22"/>
  <c r="V39" i="22"/>
  <c r="U39" i="22"/>
  <c r="S39" i="22"/>
  <c r="R39" i="22"/>
  <c r="P39" i="22"/>
  <c r="Q27" i="22"/>
  <c r="P85" i="22"/>
  <c r="I105" i="22"/>
  <c r="Z105" i="22"/>
  <c r="Y105" i="22"/>
  <c r="X105" i="22"/>
  <c r="W105" i="22"/>
  <c r="T105" i="22"/>
  <c r="V105" i="22"/>
  <c r="U105" i="22"/>
  <c r="V17" i="22"/>
  <c r="U28" i="22"/>
  <c r="Q31" i="22"/>
  <c r="T48" i="22"/>
  <c r="V60" i="22"/>
  <c r="Y32" i="22"/>
  <c r="X47" i="22"/>
  <c r="Z55" i="22"/>
  <c r="V16" i="22"/>
  <c r="R54" i="22"/>
  <c r="Y16" i="22"/>
  <c r="Y58" i="22"/>
  <c r="P83" i="22"/>
  <c r="Z16" i="22"/>
  <c r="I54" i="22"/>
  <c r="Z54" i="22"/>
  <c r="Y54" i="22"/>
  <c r="V54" i="22"/>
  <c r="X54" i="22"/>
  <c r="U54" i="22"/>
  <c r="W54" i="22"/>
  <c r="T54" i="22"/>
  <c r="I58" i="22"/>
  <c r="S58" i="22"/>
  <c r="R58" i="22"/>
  <c r="Q58" i="22"/>
  <c r="P58" i="22"/>
  <c r="P50" i="22"/>
  <c r="F31" i="22"/>
  <c r="G31" i="22"/>
  <c r="F48" i="22"/>
  <c r="P56" i="22"/>
  <c r="O112" i="22"/>
  <c r="G68" i="22"/>
  <c r="I113" i="22"/>
  <c r="G120" i="22"/>
  <c r="F39" i="22"/>
  <c r="F111" i="22"/>
  <c r="G39" i="22"/>
  <c r="G111" i="22"/>
  <c r="G48" i="22"/>
  <c r="F116" i="22"/>
  <c r="I48" i="22"/>
  <c r="G116" i="22"/>
  <c r="O28" i="22"/>
  <c r="F59" i="22"/>
  <c r="I116" i="22"/>
  <c r="I16" i="22"/>
  <c r="G59" i="22"/>
  <c r="F119" i="22"/>
  <c r="F28" i="22"/>
  <c r="F67" i="22"/>
  <c r="G119" i="22"/>
  <c r="G28" i="22"/>
  <c r="G67" i="22"/>
  <c r="I119" i="22"/>
  <c r="I28" i="22"/>
  <c r="I67" i="22"/>
  <c r="F120" i="22"/>
  <c r="F16" i="22"/>
  <c r="F38" i="22"/>
  <c r="F58" i="22"/>
  <c r="F106" i="22"/>
  <c r="F113" i="22"/>
  <c r="F122" i="22"/>
  <c r="O121" i="22"/>
  <c r="G16" i="22"/>
  <c r="G38" i="22"/>
  <c r="G58" i="22"/>
  <c r="G106" i="22"/>
  <c r="G113" i="22"/>
  <c r="G122" i="22"/>
  <c r="O38" i="22"/>
  <c r="O122" i="22"/>
  <c r="F13" i="22"/>
  <c r="H16" i="22"/>
  <c r="H38" i="22"/>
  <c r="H48" i="22"/>
  <c r="H58" i="22"/>
  <c r="H67" i="22"/>
  <c r="H106" i="22"/>
  <c r="H113" i="22"/>
  <c r="H116" i="22"/>
  <c r="H119" i="22"/>
  <c r="H122" i="22"/>
  <c r="O27" i="22"/>
  <c r="O39" i="22"/>
  <c r="O111" i="22"/>
  <c r="H17" i="22"/>
  <c r="H31" i="22"/>
  <c r="H39" i="22"/>
  <c r="H54" i="22"/>
  <c r="H59" i="22"/>
  <c r="H68" i="22"/>
  <c r="H111" i="22"/>
  <c r="H114" i="22"/>
  <c r="H117" i="22"/>
  <c r="H120" i="22"/>
  <c r="O31" i="22"/>
  <c r="O55" i="22"/>
  <c r="O115" i="22"/>
  <c r="F17" i="22"/>
  <c r="F54" i="22"/>
  <c r="F114" i="22"/>
  <c r="F117" i="22"/>
  <c r="G17" i="22"/>
  <c r="G54" i="22"/>
  <c r="G114" i="22"/>
  <c r="G117" i="22"/>
  <c r="O17" i="22"/>
  <c r="O54" i="22"/>
  <c r="O114" i="22"/>
  <c r="I59" i="22"/>
  <c r="I68" i="22"/>
  <c r="I117" i="22"/>
  <c r="I120" i="22"/>
  <c r="O32" i="22"/>
  <c r="F27" i="22"/>
  <c r="F32" i="22"/>
  <c r="F47" i="22"/>
  <c r="F55" i="22"/>
  <c r="F60" i="22"/>
  <c r="F105" i="22"/>
  <c r="F112" i="22"/>
  <c r="F115" i="22"/>
  <c r="F118" i="22"/>
  <c r="F121" i="22"/>
  <c r="O105" i="22"/>
  <c r="I106" i="22"/>
  <c r="G27" i="22"/>
  <c r="G32" i="22"/>
  <c r="G47" i="22"/>
  <c r="G55" i="22"/>
  <c r="G60" i="22"/>
  <c r="G105" i="22"/>
  <c r="G112" i="22"/>
  <c r="G115" i="22"/>
  <c r="G118" i="22"/>
  <c r="G121" i="22"/>
  <c r="O58" i="22"/>
  <c r="O118" i="22"/>
  <c r="H27" i="22"/>
  <c r="H32" i="22"/>
  <c r="H47" i="22"/>
  <c r="H55" i="22"/>
  <c r="H60" i="22"/>
  <c r="H105" i="22"/>
  <c r="H112" i="22"/>
  <c r="H115" i="22"/>
  <c r="H118" i="22"/>
  <c r="H121" i="22"/>
  <c r="O47" i="22"/>
  <c r="I60" i="22"/>
  <c r="P57" i="22"/>
  <c r="J63" i="26"/>
  <c r="J64" i="26"/>
  <c r="J49" i="26"/>
  <c r="K49" i="26" s="1"/>
  <c r="J36" i="26"/>
  <c r="K36" i="26" s="1"/>
  <c r="K39" i="26"/>
  <c r="O11" i="27"/>
  <c r="O26" i="27" s="1"/>
  <c r="J62" i="26"/>
  <c r="K62" i="26" s="1"/>
  <c r="J58" i="26"/>
  <c r="K58" i="26" s="1"/>
  <c r="J27" i="26"/>
  <c r="K27" i="26" s="1"/>
  <c r="AG98" i="24"/>
  <c r="AD43" i="24"/>
  <c r="AG103" i="24"/>
  <c r="AF103" i="24"/>
  <c r="AF41" i="24"/>
  <c r="AF80" i="24"/>
  <c r="AG63" i="24"/>
  <c r="AF63" i="24"/>
  <c r="AG85" i="24"/>
  <c r="AF85" i="24"/>
  <c r="AD66" i="24"/>
  <c r="AF87" i="24"/>
  <c r="AG87" i="24"/>
  <c r="AF24" i="24"/>
  <c r="AG73" i="24"/>
  <c r="AF51" i="24"/>
  <c r="AG51" i="24"/>
  <c r="AG24" i="24"/>
  <c r="AD100" i="24"/>
  <c r="AF76" i="24"/>
  <c r="AF98" i="24"/>
  <c r="AG102" i="24"/>
  <c r="AD74" i="24"/>
  <c r="AG25" i="24"/>
  <c r="X90" i="24"/>
  <c r="AG26" i="24"/>
  <c r="AD101" i="24"/>
  <c r="AD16" i="24"/>
  <c r="AD75" i="24"/>
  <c r="AD76" i="24"/>
  <c r="AD92" i="24"/>
  <c r="AD38" i="24"/>
  <c r="AD23" i="24"/>
  <c r="AD99" i="24"/>
  <c r="AD61" i="24"/>
  <c r="AG31" i="24"/>
  <c r="AD98" i="24"/>
  <c r="AM98" i="24" s="1"/>
  <c r="AD7" i="24"/>
  <c r="AL7" i="24" s="1"/>
  <c r="T100" i="24"/>
  <c r="AF62" i="24"/>
  <c r="AF32" i="24"/>
  <c r="AF35" i="24"/>
  <c r="X7" i="24"/>
  <c r="Z25" i="24"/>
  <c r="AJ25" i="24" s="1"/>
  <c r="R100" i="24"/>
  <c r="AB73" i="24"/>
  <c r="X79" i="24"/>
  <c r="Z87" i="24"/>
  <c r="AJ87" i="24" s="1"/>
  <c r="P48" i="24"/>
  <c r="Z48" i="24"/>
  <c r="AB62" i="24"/>
  <c r="AL62" i="24" s="1"/>
  <c r="X86" i="24"/>
  <c r="Z12" i="24"/>
  <c r="AJ12" i="24" s="1"/>
  <c r="Z18" i="24"/>
  <c r="X100" i="24"/>
  <c r="X97" i="24"/>
  <c r="Z14" i="24"/>
  <c r="AJ14" i="24" s="1"/>
  <c r="Z80" i="24"/>
  <c r="AB12" i="24"/>
  <c r="AL12" i="24" s="1"/>
  <c r="Z31" i="24"/>
  <c r="AJ31" i="24" s="1"/>
  <c r="Z86" i="24"/>
  <c r="AB31" i="24"/>
  <c r="AL31" i="24" s="1"/>
  <c r="AB35" i="24"/>
  <c r="AL35" i="24" s="1"/>
  <c r="Z76" i="24"/>
  <c r="AB86" i="24"/>
  <c r="P31" i="24"/>
  <c r="T32" i="24"/>
  <c r="P92" i="24"/>
  <c r="AB24" i="24"/>
  <c r="AL24" i="24" s="1"/>
  <c r="AB79" i="24"/>
  <c r="X13" i="24"/>
  <c r="AF6" i="24"/>
  <c r="T63" i="24"/>
  <c r="X17" i="24"/>
  <c r="P62" i="24"/>
  <c r="AB87" i="24"/>
  <c r="AL87" i="24" s="1"/>
  <c r="Z11" i="24"/>
  <c r="Z17" i="24"/>
  <c r="Z34" i="24"/>
  <c r="Z37" i="24"/>
  <c r="Z40" i="24"/>
  <c r="Z43" i="24"/>
  <c r="Z51" i="24"/>
  <c r="AJ51" i="24" s="1"/>
  <c r="Z54" i="24"/>
  <c r="Z68" i="24"/>
  <c r="Z75" i="24"/>
  <c r="AJ75" i="24" s="1"/>
  <c r="Z97" i="24"/>
  <c r="Z103" i="24"/>
  <c r="AJ103" i="24" s="1"/>
  <c r="AB9" i="24"/>
  <c r="AL9" i="24" s="1"/>
  <c r="X37" i="24"/>
  <c r="AB38" i="24"/>
  <c r="X40" i="24"/>
  <c r="AB41" i="24"/>
  <c r="AL41" i="24" s="1"/>
  <c r="X43" i="24"/>
  <c r="X54" i="24"/>
  <c r="AB55" i="24"/>
  <c r="X64" i="24"/>
  <c r="X68" i="24"/>
  <c r="AB91" i="24"/>
  <c r="AL91" i="24" s="1"/>
  <c r="R91" i="24"/>
  <c r="Z9" i="24"/>
  <c r="AJ9" i="24" s="1"/>
  <c r="T23" i="24"/>
  <c r="P67" i="24"/>
  <c r="AB8" i="24"/>
  <c r="AL8" i="24" s="1"/>
  <c r="AB11" i="24"/>
  <c r="AB14" i="24"/>
  <c r="AL14" i="24" s="1"/>
  <c r="AB17" i="24"/>
  <c r="X33" i="24"/>
  <c r="AB34" i="24"/>
  <c r="X36" i="24"/>
  <c r="AB37" i="24"/>
  <c r="X39" i="24"/>
  <c r="AB40" i="24"/>
  <c r="X42" i="24"/>
  <c r="AD42" i="24" s="1"/>
  <c r="AB43" i="24"/>
  <c r="X50" i="24"/>
  <c r="AB51" i="24"/>
  <c r="AL51" i="24" s="1"/>
  <c r="X53" i="24"/>
  <c r="X56" i="24"/>
  <c r="AB68" i="24"/>
  <c r="X78" i="24"/>
  <c r="X88" i="24"/>
  <c r="AB97" i="24"/>
  <c r="AB103" i="24"/>
  <c r="AL103" i="24" s="1"/>
  <c r="T10" i="24"/>
  <c r="Z10" i="24"/>
  <c r="Z13" i="24"/>
  <c r="Z23" i="24"/>
  <c r="Z26" i="24"/>
  <c r="AJ26" i="24" s="1"/>
  <c r="Z33" i="24"/>
  <c r="Z36" i="24"/>
  <c r="Z39" i="24"/>
  <c r="Z42" i="24"/>
  <c r="Z50" i="24"/>
  <c r="Z53" i="24"/>
  <c r="Z56" i="24"/>
  <c r="Z78" i="24"/>
  <c r="Z92" i="24"/>
  <c r="Z99" i="24"/>
  <c r="AJ99" i="24" s="1"/>
  <c r="T67" i="24"/>
  <c r="P25" i="24"/>
  <c r="AB13" i="24"/>
  <c r="AB16" i="24"/>
  <c r="AL16" i="24" s="1"/>
  <c r="X18" i="24"/>
  <c r="AB26" i="24"/>
  <c r="AL26" i="24" s="1"/>
  <c r="X48" i="24"/>
  <c r="X52" i="24"/>
  <c r="X55" i="24"/>
  <c r="X66" i="24"/>
  <c r="AB78" i="24"/>
  <c r="X91" i="24"/>
  <c r="AD91" i="24" s="1"/>
  <c r="AB92" i="24"/>
  <c r="X104" i="24"/>
  <c r="R49" i="24"/>
  <c r="R48" i="24"/>
  <c r="P34" i="24"/>
  <c r="T76" i="24"/>
  <c r="T54" i="24"/>
  <c r="T15" i="24"/>
  <c r="P51" i="24"/>
  <c r="R73" i="24"/>
  <c r="P80" i="24"/>
  <c r="T18" i="24"/>
  <c r="R67" i="24"/>
  <c r="O102" i="24"/>
  <c r="P103" i="24"/>
  <c r="P10" i="24"/>
  <c r="P14" i="24"/>
  <c r="P23" i="24"/>
  <c r="N49" i="24"/>
  <c r="R62" i="24"/>
  <c r="O49" i="24"/>
  <c r="P99" i="24"/>
  <c r="F22" i="23" a="1"/>
  <c r="F22" i="23" s="1"/>
  <c r="K22" i="23" s="1"/>
  <c r="F25" i="22" s="1"/>
  <c r="F46" i="23" a="1"/>
  <c r="F46" i="23" s="1"/>
  <c r="K46" i="23" s="1"/>
  <c r="F62" i="22" s="1"/>
  <c r="F12" i="23" a="1"/>
  <c r="F12" i="23" s="1"/>
  <c r="J12" i="23" s="1"/>
  <c r="Q49" i="24"/>
  <c r="P75" i="24"/>
  <c r="F25" i="23" a="1"/>
  <c r="F25" i="23" s="1"/>
  <c r="K25" i="23" s="1"/>
  <c r="F30" i="22" s="1"/>
  <c r="F48" i="23" a="1"/>
  <c r="F48" i="23" s="1"/>
  <c r="K48" i="23" s="1"/>
  <c r="F64" i="22" s="1"/>
  <c r="P26" i="24"/>
  <c r="F50" i="23" a="1"/>
  <c r="F50" i="23" s="1"/>
  <c r="K50" i="23" s="1"/>
  <c r="F66" i="22" s="1"/>
  <c r="T52" i="24"/>
  <c r="P12" i="24"/>
  <c r="F33" i="23" a="1"/>
  <c r="F33" i="23" s="1"/>
  <c r="E33" i="23" s="1"/>
  <c r="J33" i="23" s="1"/>
  <c r="F35" i="23" a="1"/>
  <c r="F35" i="23" s="1"/>
  <c r="K35" i="23" s="1"/>
  <c r="F44" i="22" s="1"/>
  <c r="F37" i="23" a="1"/>
  <c r="F37" i="23" s="1"/>
  <c r="J14" i="26"/>
  <c r="K14" i="26" s="1"/>
  <c r="J21" i="26"/>
  <c r="K21" i="26" s="1"/>
  <c r="J52" i="26"/>
  <c r="K52" i="26" s="1"/>
  <c r="K55" i="26" s="1"/>
  <c r="J13" i="26"/>
  <c r="K13" i="26" s="1"/>
  <c r="J23" i="26"/>
  <c r="K23" i="26" s="1"/>
  <c r="J16" i="26"/>
  <c r="K16" i="26" s="1"/>
  <c r="J25" i="26"/>
  <c r="K25" i="26" s="1"/>
  <c r="F43" i="23"/>
  <c r="G43" i="23" s="1"/>
  <c r="H43" i="23" s="1"/>
  <c r="I43" i="23" s="1"/>
  <c r="E8" i="23"/>
  <c r="J8" i="23" s="1"/>
  <c r="J6" i="23"/>
  <c r="J7" i="23"/>
  <c r="E29" i="23"/>
  <c r="F29" i="23" s="1"/>
  <c r="K29" i="23" s="1"/>
  <c r="F36" i="22" s="1"/>
  <c r="J16" i="23"/>
  <c r="E36" i="23"/>
  <c r="F23" i="23"/>
  <c r="J23" i="23"/>
  <c r="J13" i="23"/>
  <c r="F13" i="23"/>
  <c r="F20" i="23"/>
  <c r="G20" i="23" s="1"/>
  <c r="H20" i="23" s="1"/>
  <c r="F53" i="23"/>
  <c r="K53" i="23" s="1"/>
  <c r="F71" i="22" s="1"/>
  <c r="F18" i="23"/>
  <c r="G18" i="23" s="1"/>
  <c r="H18" i="23" s="1"/>
  <c r="F59" i="23"/>
  <c r="F54" i="23"/>
  <c r="K54" i="23" s="1"/>
  <c r="F72" i="22" s="1"/>
  <c r="F56" i="23"/>
  <c r="F6" i="23"/>
  <c r="K6" i="23" s="1"/>
  <c r="F7" i="22" s="1"/>
  <c r="F51" i="23"/>
  <c r="G51" i="23" s="1"/>
  <c r="H51" i="23" s="1"/>
  <c r="F60" i="23"/>
  <c r="F57" i="23"/>
  <c r="F47" i="23"/>
  <c r="F15" i="23"/>
  <c r="G15" i="23" s="1"/>
  <c r="H15" i="23" s="1"/>
  <c r="F52" i="23"/>
  <c r="F17" i="23"/>
  <c r="G17" i="23" s="1"/>
  <c r="H17" i="23" s="1"/>
  <c r="F55" i="23"/>
  <c r="F45" i="23"/>
  <c r="F58" i="23"/>
  <c r="F16" i="23"/>
  <c r="K16" i="23" s="1"/>
  <c r="F19" i="22" s="1"/>
  <c r="F24" i="23"/>
  <c r="G24" i="23" s="1"/>
  <c r="H24" i="23" s="1"/>
  <c r="F26" i="23"/>
  <c r="F7" i="23"/>
  <c r="K7" i="23" s="1"/>
  <c r="F8" i="22" s="1"/>
  <c r="F9" i="23"/>
  <c r="F31" i="23"/>
  <c r="F32" i="23"/>
  <c r="G32" i="23" s="1"/>
  <c r="H32" i="23" s="1"/>
  <c r="T25" i="24"/>
  <c r="T61" i="24"/>
  <c r="P85" i="24"/>
  <c r="P6" i="24"/>
  <c r="U49" i="24"/>
  <c r="R85" i="24"/>
  <c r="P98" i="24"/>
  <c r="P101" i="24"/>
  <c r="P102" i="24" s="1"/>
  <c r="R6" i="24"/>
  <c r="AY14" i="24"/>
  <c r="BD14" i="24"/>
  <c r="T85" i="24"/>
  <c r="R90" i="24"/>
  <c r="T6" i="24"/>
  <c r="P49" i="24"/>
  <c r="P15" i="24"/>
  <c r="R64" i="24"/>
  <c r="P74" i="24"/>
  <c r="T80" i="24"/>
  <c r="P24" i="24"/>
  <c r="T64" i="24"/>
  <c r="T99" i="24"/>
  <c r="P8" i="24"/>
  <c r="D49" i="24"/>
  <c r="D50" i="24"/>
  <c r="D51" i="24" s="1"/>
  <c r="D52" i="24" s="1"/>
  <c r="D53" i="24" s="1"/>
  <c r="D54" i="24" s="1"/>
  <c r="D55" i="24" s="1"/>
  <c r="D56" i="24" s="1"/>
  <c r="D57" i="24" s="1"/>
  <c r="D58" i="24" s="1"/>
  <c r="T50" i="24"/>
  <c r="T53" i="24"/>
  <c r="T56" i="24"/>
  <c r="R7" i="24"/>
  <c r="P61" i="24"/>
  <c r="T75" i="24"/>
  <c r="R88" i="24"/>
  <c r="T33" i="24"/>
  <c r="T36" i="24"/>
  <c r="T39" i="24"/>
  <c r="T42" i="24"/>
  <c r="R61" i="24"/>
  <c r="R66" i="24"/>
  <c r="T88" i="24"/>
  <c r="R104" i="24"/>
  <c r="P9" i="24"/>
  <c r="BC14" i="24"/>
  <c r="P16" i="24"/>
  <c r="P32" i="24"/>
  <c r="P35" i="24"/>
  <c r="P38" i="24"/>
  <c r="P41" i="24"/>
  <c r="P63" i="24"/>
  <c r="R74" i="24"/>
  <c r="P87" i="24"/>
  <c r="R98" i="24"/>
  <c r="R101" i="24"/>
  <c r="R8" i="24"/>
  <c r="R15" i="24"/>
  <c r="R24" i="24"/>
  <c r="R52" i="24"/>
  <c r="R55" i="24"/>
  <c r="T66" i="24"/>
  <c r="R79" i="24"/>
  <c r="T90" i="24"/>
  <c r="T7" i="24"/>
  <c r="P11" i="24"/>
  <c r="R16" i="24"/>
  <c r="R32" i="24"/>
  <c r="R35" i="24"/>
  <c r="R38" i="24"/>
  <c r="R41" i="24"/>
  <c r="L49" i="24"/>
  <c r="R63" i="24"/>
  <c r="P73" i="24"/>
  <c r="T74" i="24"/>
  <c r="P76" i="24"/>
  <c r="T98" i="24"/>
  <c r="T101" i="24"/>
  <c r="T104" i="24"/>
  <c r="T48" i="24"/>
  <c r="D47" i="11"/>
  <c r="E47" i="11" s="1"/>
  <c r="I35" i="2"/>
  <c r="I36" i="2" s="1"/>
  <c r="J7" i="18"/>
  <c r="J12" i="18"/>
  <c r="J51" i="18"/>
  <c r="J19" i="18"/>
  <c r="J35" i="18"/>
  <c r="J59" i="18"/>
  <c r="H7" i="2"/>
  <c r="J44" i="18"/>
  <c r="E7" i="2"/>
  <c r="E14" i="2" s="1"/>
  <c r="H16" i="2"/>
  <c r="H29" i="2" s="1"/>
  <c r="H6" i="2"/>
  <c r="J33" i="2"/>
  <c r="J36" i="2" s="1"/>
  <c r="J30" i="18"/>
  <c r="J49" i="18"/>
  <c r="J58" i="18"/>
  <c r="J25" i="18"/>
  <c r="D44" i="11"/>
  <c r="E44" i="11" s="1"/>
  <c r="D45" i="11"/>
  <c r="E45" i="11" s="1"/>
  <c r="J74" i="18"/>
  <c r="J57" i="18"/>
  <c r="D46" i="11"/>
  <c r="E46" i="11" s="1"/>
  <c r="J55" i="18"/>
  <c r="J56" i="18"/>
  <c r="F6" i="2"/>
  <c r="J76" i="18"/>
  <c r="J9" i="18"/>
  <c r="J33" i="18"/>
  <c r="H10" i="2"/>
  <c r="J50" i="18"/>
  <c r="K75" i="8"/>
  <c r="N75" i="8"/>
  <c r="J36" i="18"/>
  <c r="K36" i="18" s="1"/>
  <c r="O75" i="8"/>
  <c r="J47" i="18"/>
  <c r="J21" i="18"/>
  <c r="H6" i="22"/>
  <c r="J20" i="18"/>
  <c r="J8" i="18"/>
  <c r="I6" i="22"/>
  <c r="J27" i="18"/>
  <c r="P75" i="8"/>
  <c r="N66" i="8"/>
  <c r="I37" i="8"/>
  <c r="U37" i="8"/>
  <c r="G78" i="8"/>
  <c r="G26" i="18"/>
  <c r="J71" i="18"/>
  <c r="K6" i="22"/>
  <c r="J46" i="18"/>
  <c r="G6" i="22"/>
  <c r="J37" i="8"/>
  <c r="F38" i="8"/>
  <c r="H78" i="8"/>
  <c r="H26" i="18"/>
  <c r="J81" i="18"/>
  <c r="J54" i="18"/>
  <c r="J18" i="18"/>
  <c r="K18" i="18" s="1"/>
  <c r="L6" i="22"/>
  <c r="G38" i="8"/>
  <c r="I78" i="8"/>
  <c r="J53" i="18"/>
  <c r="J41" i="18"/>
  <c r="J29" i="18"/>
  <c r="J17" i="18"/>
  <c r="M6" i="22"/>
  <c r="R38" i="8"/>
  <c r="N78" i="8"/>
  <c r="J79" i="18"/>
  <c r="J52" i="18"/>
  <c r="J16" i="18"/>
  <c r="K80" i="19"/>
  <c r="K81" i="19" s="1"/>
  <c r="K82" i="19" s="1"/>
  <c r="K35" i="19"/>
  <c r="K25" i="19"/>
  <c r="K26" i="19" s="1"/>
  <c r="K61" i="19"/>
  <c r="L25" i="19"/>
  <c r="L26" i="19" s="1"/>
  <c r="L80" i="19"/>
  <c r="L81" i="19" s="1"/>
  <c r="L82" i="19" s="1"/>
  <c r="L35" i="19"/>
  <c r="L61" i="19"/>
  <c r="I47" i="19"/>
  <c r="I36" i="19"/>
  <c r="I66" i="19"/>
  <c r="I30" i="19"/>
  <c r="I67" i="19"/>
  <c r="I31" i="19"/>
  <c r="I23" i="19"/>
  <c r="L46" i="19"/>
  <c r="H30" i="19"/>
  <c r="J39" i="19"/>
  <c r="F68" i="19"/>
  <c r="F59" i="19"/>
  <c r="F69" i="19"/>
  <c r="F70" i="19"/>
  <c r="H61" i="19"/>
  <c r="H63" i="19" s="1"/>
  <c r="F40" i="19"/>
  <c r="F42" i="19"/>
  <c r="F52" i="19" s="1"/>
  <c r="H37" i="19"/>
  <c r="J38" i="19"/>
  <c r="E44" i="19"/>
  <c r="E54" i="19" s="1"/>
  <c r="D62" i="19"/>
  <c r="I69" i="19"/>
  <c r="J36" i="19"/>
  <c r="K36" i="19"/>
  <c r="K30" i="19"/>
  <c r="H70" i="19"/>
  <c r="J23" i="19"/>
  <c r="J48" i="19" s="1"/>
  <c r="J55" i="19" s="1"/>
  <c r="K62" i="19"/>
  <c r="K72" i="19"/>
  <c r="H34" i="19"/>
  <c r="L36" i="19"/>
  <c r="L30" i="19"/>
  <c r="L66" i="19"/>
  <c r="K23" i="19"/>
  <c r="K42" i="19" s="1"/>
  <c r="L62" i="19"/>
  <c r="I63" i="19"/>
  <c r="L23" i="19"/>
  <c r="K33" i="19"/>
  <c r="I61" i="19"/>
  <c r="D63" i="19"/>
  <c r="I70" i="19"/>
  <c r="K63" i="19"/>
  <c r="J31" i="19"/>
  <c r="L33" i="19"/>
  <c r="H39" i="19"/>
  <c r="J61" i="19"/>
  <c r="J63" i="19" s="1"/>
  <c r="E77" i="19"/>
  <c r="E78" i="19"/>
  <c r="I77" i="19"/>
  <c r="L63" i="19"/>
  <c r="K31" i="19"/>
  <c r="E67" i="19"/>
  <c r="E68" i="19"/>
  <c r="E59" i="19"/>
  <c r="E69" i="19"/>
  <c r="E70" i="19"/>
  <c r="F77" i="19"/>
  <c r="F78" i="19"/>
  <c r="G26" i="19"/>
  <c r="G27" i="19"/>
  <c r="I38" i="19"/>
  <c r="K39" i="19"/>
  <c r="G69" i="19"/>
  <c r="G70" i="19"/>
  <c r="H69" i="19"/>
  <c r="H76" i="19"/>
  <c r="I80" i="19"/>
  <c r="I81" i="19" s="1"/>
  <c r="I82" i="19" s="1"/>
  <c r="I35" i="19"/>
  <c r="I72" i="19"/>
  <c r="I74" i="19" s="1"/>
  <c r="I62" i="19"/>
  <c r="G40" i="19"/>
  <c r="G42" i="19"/>
  <c r="G52" i="19" s="1"/>
  <c r="G43" i="19"/>
  <c r="G53" i="19" s="1"/>
  <c r="I25" i="19"/>
  <c r="I26" i="19" s="1"/>
  <c r="I37" i="19"/>
  <c r="L42" i="19"/>
  <c r="F44" i="19"/>
  <c r="F54" i="19" s="1"/>
  <c r="D64" i="19"/>
  <c r="J76" i="19"/>
  <c r="K73" i="19"/>
  <c r="L72" i="19"/>
  <c r="L74" i="19" s="1"/>
  <c r="J80" i="19"/>
  <c r="J35" i="19"/>
  <c r="J81" i="19"/>
  <c r="J82" i="19" s="1"/>
  <c r="J64" i="19"/>
  <c r="J72" i="19"/>
  <c r="J73" i="19" s="1"/>
  <c r="K74" i="19"/>
  <c r="H23" i="19"/>
  <c r="H48" i="19" s="1"/>
  <c r="H55" i="19" s="1"/>
  <c r="J25" i="19"/>
  <c r="I34" i="19"/>
  <c r="L38" i="19"/>
  <c r="G44" i="19"/>
  <c r="G54" i="19" s="1"/>
  <c r="E46" i="19"/>
  <c r="E49" i="19"/>
  <c r="J66" i="19"/>
  <c r="G68" i="19"/>
  <c r="K69" i="19"/>
  <c r="K76" i="19"/>
  <c r="H35" i="19"/>
  <c r="H80" i="19"/>
  <c r="H81" i="19" s="1"/>
  <c r="H82" i="19" s="1"/>
  <c r="H42" i="19"/>
  <c r="C49" i="19"/>
  <c r="H47" i="18"/>
  <c r="F20" i="18"/>
  <c r="F17" i="18"/>
  <c r="H27" i="18"/>
  <c r="G73" i="18"/>
  <c r="F28" i="18"/>
  <c r="K28" i="18" s="1"/>
  <c r="H73" i="18"/>
  <c r="I28" i="18"/>
  <c r="H37" i="18"/>
  <c r="H64" i="18"/>
  <c r="H66" i="18"/>
  <c r="H69" i="18"/>
  <c r="G72" i="18"/>
  <c r="F34" i="18"/>
  <c r="H72" i="18"/>
  <c r="I78" i="18"/>
  <c r="G63" i="18"/>
  <c r="G43" i="18"/>
  <c r="G81" i="18"/>
  <c r="F53" i="18"/>
  <c r="H32" i="18"/>
  <c r="I43" i="18"/>
  <c r="G69" i="18"/>
  <c r="F44" i="18"/>
  <c r="G71" i="18"/>
  <c r="F41" i="18"/>
  <c r="G32" i="18"/>
  <c r="G67" i="18"/>
  <c r="G42" i="18"/>
  <c r="F70" i="18"/>
  <c r="K70" i="18" s="1"/>
  <c r="F77" i="18"/>
  <c r="F79" i="18"/>
  <c r="H43" i="18"/>
  <c r="G77" i="18"/>
  <c r="G79" i="18"/>
  <c r="F29" i="18"/>
  <c r="I32" i="18"/>
  <c r="I42" i="18"/>
  <c r="F48" i="18"/>
  <c r="F49" i="18"/>
  <c r="F56" i="18"/>
  <c r="F45" i="18"/>
  <c r="K45" i="18" s="1"/>
  <c r="H22" i="18"/>
  <c r="G41" i="18"/>
  <c r="F80" i="18"/>
  <c r="K80" i="18" s="1"/>
  <c r="G15" i="18"/>
  <c r="G23" i="18"/>
  <c r="I41" i="18"/>
  <c r="G48" i="18"/>
  <c r="G65" i="18"/>
  <c r="F81" i="18"/>
  <c r="G14" i="18"/>
  <c r="I81" i="18"/>
  <c r="H14" i="18"/>
  <c r="G37" i="18"/>
  <c r="I79" i="18"/>
  <c r="I13" i="18"/>
  <c r="H31" i="18"/>
  <c r="H38" i="18"/>
  <c r="H62" i="18"/>
  <c r="I11" i="18"/>
  <c r="I61" i="18"/>
  <c r="F7" i="18"/>
  <c r="F9" i="18"/>
  <c r="F11" i="18"/>
  <c r="K11" i="18" s="1"/>
  <c r="F13" i="18"/>
  <c r="K13" i="18" s="1"/>
  <c r="F24" i="18"/>
  <c r="K24" i="18" s="1"/>
  <c r="G28" i="18"/>
  <c r="I31" i="18"/>
  <c r="F60" i="18"/>
  <c r="K60" i="18" s="1"/>
  <c r="I70" i="18"/>
  <c r="H61" i="18"/>
  <c r="F50" i="18"/>
  <c r="I14" i="18"/>
  <c r="I22" i="18"/>
  <c r="G24" i="18"/>
  <c r="F25" i="18"/>
  <c r="G38" i="18"/>
  <c r="F55" i="18"/>
  <c r="F61" i="18"/>
  <c r="K61" i="18" s="1"/>
  <c r="F31" i="18"/>
  <c r="K31" i="18" s="1"/>
  <c r="G11" i="18"/>
  <c r="G13" i="18"/>
  <c r="F16" i="18"/>
  <c r="I40" i="18"/>
  <c r="H42" i="18"/>
  <c r="F51" i="18"/>
  <c r="K51" i="18" s="1"/>
  <c r="G60" i="18"/>
  <c r="H75" i="18"/>
  <c r="F14" i="18"/>
  <c r="K14" i="18" s="1"/>
  <c r="F22" i="18"/>
  <c r="K22" i="18" s="1"/>
  <c r="F38" i="18"/>
  <c r="F62" i="18"/>
  <c r="G66" i="18"/>
  <c r="F82" i="18"/>
  <c r="K82" i="18" s="1"/>
  <c r="I82" i="18"/>
  <c r="H82" i="18"/>
  <c r="H23" i="18"/>
  <c r="F26" i="18"/>
  <c r="F32" i="18"/>
  <c r="K32" i="18" s="1"/>
  <c r="G36" i="18"/>
  <c r="F39" i="18"/>
  <c r="F42" i="18"/>
  <c r="K42" i="18" s="1"/>
  <c r="G47" i="18"/>
  <c r="I59" i="18"/>
  <c r="G70" i="18"/>
  <c r="F72" i="18"/>
  <c r="K72" i="18" s="1"/>
  <c r="H76" i="18"/>
  <c r="F8" i="18"/>
  <c r="F19" i="18"/>
  <c r="H24" i="18"/>
  <c r="G31" i="18"/>
  <c r="G40" i="18"/>
  <c r="H40" i="18"/>
  <c r="F57" i="18"/>
  <c r="G61" i="18"/>
  <c r="G62" i="18"/>
  <c r="H67" i="18"/>
  <c r="H74" i="18"/>
  <c r="G74" i="18"/>
  <c r="G22" i="18"/>
  <c r="F23" i="18"/>
  <c r="I24" i="18"/>
  <c r="H36" i="18"/>
  <c r="F43" i="18"/>
  <c r="K43" i="18" s="1"/>
  <c r="F47" i="18"/>
  <c r="F58" i="18"/>
  <c r="H60" i="18"/>
  <c r="G80" i="18"/>
  <c r="I80" i="18"/>
  <c r="H80" i="18"/>
  <c r="G82" i="18"/>
  <c r="H11" i="18"/>
  <c r="H13" i="18"/>
  <c r="F15" i="18"/>
  <c r="K15" i="18" s="1"/>
  <c r="I15" i="18"/>
  <c r="H28" i="18"/>
  <c r="I36" i="18"/>
  <c r="F40" i="18"/>
  <c r="K40" i="18" s="1"/>
  <c r="I60" i="18"/>
  <c r="G64" i="18"/>
  <c r="H70" i="18"/>
  <c r="F74" i="18"/>
  <c r="F75" i="18"/>
  <c r="K75" i="18" s="1"/>
  <c r="G75" i="18"/>
  <c r="G76" i="18"/>
  <c r="F76" i="18"/>
  <c r="K76" i="18" s="1"/>
  <c r="I37" i="18"/>
  <c r="I69" i="18"/>
  <c r="I71" i="18"/>
  <c r="L71" i="18" s="1"/>
  <c r="G78" i="18"/>
  <c r="F33" i="18"/>
  <c r="F37" i="18"/>
  <c r="K37" i="18" s="1"/>
  <c r="I48" i="18"/>
  <c r="F52" i="18"/>
  <c r="F54" i="18"/>
  <c r="F69" i="18"/>
  <c r="K69" i="18" s="1"/>
  <c r="F71" i="18"/>
  <c r="F73" i="18"/>
  <c r="F78" i="18"/>
  <c r="F27" i="18"/>
  <c r="I27" i="18"/>
  <c r="J103" i="17"/>
  <c r="I99" i="17"/>
  <c r="I107" i="17"/>
  <c r="I105" i="17"/>
  <c r="H116" i="17"/>
  <c r="J96" i="17"/>
  <c r="J98" i="17" s="1"/>
  <c r="J92" i="17"/>
  <c r="J94" i="17" s="1"/>
  <c r="I103" i="17"/>
  <c r="H95" i="17"/>
  <c r="S44" i="17"/>
  <c r="AF44" i="17" s="1"/>
  <c r="C40" i="9" s="1"/>
  <c r="I95" i="17"/>
  <c r="H90" i="17"/>
  <c r="I90" i="17"/>
  <c r="H107" i="17"/>
  <c r="H103" i="17"/>
  <c r="H99" i="17"/>
  <c r="Q59" i="8"/>
  <c r="G74" i="8"/>
  <c r="G75" i="8"/>
  <c r="G77" i="8"/>
  <c r="F74" i="8"/>
  <c r="J73" i="8"/>
  <c r="J14" i="2"/>
  <c r="J29" i="2"/>
  <c r="G14" i="2"/>
  <c r="K29" i="2"/>
  <c r="I14" i="2"/>
  <c r="J78" i="8"/>
  <c r="K78" i="8"/>
  <c r="L78" i="8"/>
  <c r="S38" i="8"/>
  <c r="T38" i="8"/>
  <c r="K76" i="8"/>
  <c r="L76" i="8"/>
  <c r="N76" i="8"/>
  <c r="N74" i="8"/>
  <c r="G73" i="8"/>
  <c r="O74" i="8"/>
  <c r="G76" i="8"/>
  <c r="O77" i="8"/>
  <c r="P74" i="8"/>
  <c r="L75" i="8"/>
  <c r="H76" i="8"/>
  <c r="P77" i="8"/>
  <c r="M76" i="8"/>
  <c r="N73" i="8"/>
  <c r="O73" i="8"/>
  <c r="O76" i="8"/>
  <c r="K77" i="8"/>
  <c r="P73" i="8"/>
  <c r="P76" i="8"/>
  <c r="L77" i="8"/>
  <c r="K72" i="8"/>
  <c r="M74" i="8"/>
  <c r="M77" i="8"/>
  <c r="F73" i="8"/>
  <c r="F76" i="8"/>
  <c r="N77" i="8"/>
  <c r="J61" i="8"/>
  <c r="I73" i="8"/>
  <c r="L72" i="8"/>
  <c r="P72" i="8"/>
  <c r="Q72" i="8"/>
  <c r="J69" i="8"/>
  <c r="R72" i="8"/>
  <c r="F71" i="8"/>
  <c r="N72" i="8"/>
  <c r="O72" i="8"/>
  <c r="N71" i="8"/>
  <c r="O71" i="8"/>
  <c r="M72" i="8"/>
  <c r="P71" i="8"/>
  <c r="G71" i="8"/>
  <c r="H71" i="8"/>
  <c r="F70" i="8"/>
  <c r="G70" i="8"/>
  <c r="H70" i="8"/>
  <c r="Q71" i="8"/>
  <c r="I70" i="8"/>
  <c r="R71" i="8"/>
  <c r="R70" i="8"/>
  <c r="S71" i="8"/>
  <c r="S70" i="8"/>
  <c r="T71" i="8"/>
  <c r="T70" i="8"/>
  <c r="F72" i="8"/>
  <c r="U70" i="8"/>
  <c r="J72" i="8"/>
  <c r="M68" i="8"/>
  <c r="L68" i="8"/>
  <c r="K68" i="8"/>
  <c r="P68" i="8"/>
  <c r="O68" i="8"/>
  <c r="N68" i="8"/>
  <c r="K69" i="8"/>
  <c r="L69" i="8"/>
  <c r="M69" i="8"/>
  <c r="N69" i="8"/>
  <c r="J70" i="8"/>
  <c r="O69" i="8"/>
  <c r="K70" i="8"/>
  <c r="P69" i="8"/>
  <c r="L70" i="8"/>
  <c r="Q69" i="8"/>
  <c r="M70" i="8"/>
  <c r="I71" i="8"/>
  <c r="U71" i="8"/>
  <c r="G69" i="8"/>
  <c r="S69" i="8"/>
  <c r="O70" i="8"/>
  <c r="K71" i="8"/>
  <c r="G72" i="8"/>
  <c r="S72" i="8"/>
  <c r="F69" i="8"/>
  <c r="R69" i="8"/>
  <c r="N70" i="8"/>
  <c r="J71" i="8"/>
  <c r="H69" i="8"/>
  <c r="T69" i="8"/>
  <c r="P70" i="8"/>
  <c r="L71" i="8"/>
  <c r="H72" i="8"/>
  <c r="T72" i="8"/>
  <c r="I69" i="8"/>
  <c r="I72" i="8"/>
  <c r="R62" i="8"/>
  <c r="G57" i="8"/>
  <c r="H57" i="8"/>
  <c r="I57" i="8"/>
  <c r="F50" i="8"/>
  <c r="M48" i="8"/>
  <c r="T48" i="8"/>
  <c r="G45" i="8"/>
  <c r="H45" i="8"/>
  <c r="I45" i="8"/>
  <c r="F47" i="8"/>
  <c r="J49" i="8"/>
  <c r="G47" i="8"/>
  <c r="K47" i="8"/>
  <c r="R59" i="8"/>
  <c r="S59" i="8"/>
  <c r="M47" i="8"/>
  <c r="J52" i="8"/>
  <c r="N60" i="8"/>
  <c r="N63" i="8"/>
  <c r="K40" i="8"/>
  <c r="K43" i="8"/>
  <c r="R47" i="8"/>
  <c r="O60" i="8"/>
  <c r="O63" i="8"/>
  <c r="O40" i="8"/>
  <c r="O43" i="8"/>
  <c r="S47" i="8"/>
  <c r="P40" i="8"/>
  <c r="P43" i="8"/>
  <c r="G48" i="8"/>
  <c r="F53" i="8"/>
  <c r="K61" i="8"/>
  <c r="J40" i="8"/>
  <c r="F41" i="8"/>
  <c r="Q43" i="8"/>
  <c r="H48" i="8"/>
  <c r="G51" i="8"/>
  <c r="G53" i="8"/>
  <c r="F56" i="8"/>
  <c r="J58" i="8"/>
  <c r="O61" i="8"/>
  <c r="K67" i="8"/>
  <c r="L47" i="8"/>
  <c r="G41" i="8"/>
  <c r="F44" i="8"/>
  <c r="N48" i="8"/>
  <c r="H51" i="8"/>
  <c r="G56" i="8"/>
  <c r="P61" i="8"/>
  <c r="O67" i="8"/>
  <c r="J43" i="8"/>
  <c r="K41" i="8"/>
  <c r="G44" i="8"/>
  <c r="O48" i="8"/>
  <c r="I51" i="8"/>
  <c r="Q61" i="8"/>
  <c r="K64" i="8"/>
  <c r="P67" i="8"/>
  <c r="J55" i="8"/>
  <c r="L41" i="8"/>
  <c r="S48" i="8"/>
  <c r="F62" i="8"/>
  <c r="O42" i="8"/>
  <c r="G50" i="8"/>
  <c r="L40" i="8"/>
  <c r="H41" i="8"/>
  <c r="T41" i="8"/>
  <c r="P42" i="8"/>
  <c r="L43" i="8"/>
  <c r="H44" i="8"/>
  <c r="H47" i="8"/>
  <c r="T47" i="8"/>
  <c r="P48" i="8"/>
  <c r="H50" i="8"/>
  <c r="H53" i="8"/>
  <c r="H56" i="8"/>
  <c r="T59" i="8"/>
  <c r="P60" i="8"/>
  <c r="L61" i="8"/>
  <c r="H62" i="8"/>
  <c r="T62" i="8"/>
  <c r="P63" i="8"/>
  <c r="L64" i="8"/>
  <c r="P66" i="8"/>
  <c r="L67" i="8"/>
  <c r="G62" i="8"/>
  <c r="S62" i="8"/>
  <c r="M40" i="8"/>
  <c r="I41" i="8"/>
  <c r="U41" i="8"/>
  <c r="Q42" i="8"/>
  <c r="M43" i="8"/>
  <c r="I44" i="8"/>
  <c r="I47" i="8"/>
  <c r="U47" i="8"/>
  <c r="Q48" i="8"/>
  <c r="I50" i="8"/>
  <c r="I53" i="8"/>
  <c r="I56" i="8"/>
  <c r="Q60" i="8"/>
  <c r="M61" i="8"/>
  <c r="I62" i="8"/>
  <c r="U62" i="8"/>
  <c r="M64" i="8"/>
  <c r="M67" i="8"/>
  <c r="O66" i="8"/>
  <c r="N40" i="8"/>
  <c r="J41" i="8"/>
  <c r="F42" i="8"/>
  <c r="R42" i="8"/>
  <c r="N43" i="8"/>
  <c r="J44" i="8"/>
  <c r="F45" i="8"/>
  <c r="J47" i="8"/>
  <c r="F48" i="8"/>
  <c r="R48" i="8"/>
  <c r="J50" i="8"/>
  <c r="F51" i="8"/>
  <c r="J53" i="8"/>
  <c r="F54" i="8"/>
  <c r="J56" i="8"/>
  <c r="F57" i="8"/>
  <c r="F60" i="8"/>
  <c r="R60" i="8"/>
  <c r="N61" i="8"/>
  <c r="J62" i="8"/>
  <c r="N64" i="8"/>
  <c r="N67" i="8"/>
  <c r="G42" i="8"/>
  <c r="S42" i="8"/>
  <c r="G54" i="8"/>
  <c r="G60" i="8"/>
  <c r="S60" i="8"/>
  <c r="K62" i="8"/>
  <c r="O64" i="8"/>
  <c r="H42" i="8"/>
  <c r="T42" i="8"/>
  <c r="H54" i="8"/>
  <c r="H60" i="8"/>
  <c r="T60" i="8"/>
  <c r="L62" i="8"/>
  <c r="P64" i="8"/>
  <c r="Q40" i="8"/>
  <c r="I42" i="8"/>
  <c r="U42" i="8"/>
  <c r="I48" i="8"/>
  <c r="U48" i="8"/>
  <c r="I54" i="8"/>
  <c r="I60" i="8"/>
  <c r="U60" i="8"/>
  <c r="M62" i="8"/>
  <c r="F40" i="8"/>
  <c r="R40" i="8"/>
  <c r="N41" i="8"/>
  <c r="J42" i="8"/>
  <c r="F43" i="8"/>
  <c r="R43" i="8"/>
  <c r="J45" i="8"/>
  <c r="N47" i="8"/>
  <c r="J48" i="8"/>
  <c r="F49" i="8"/>
  <c r="J51" i="8"/>
  <c r="F52" i="8"/>
  <c r="J54" i="8"/>
  <c r="F55" i="8"/>
  <c r="J57" i="8"/>
  <c r="F58" i="8"/>
  <c r="J60" i="8"/>
  <c r="F61" i="8"/>
  <c r="R61" i="8"/>
  <c r="N62" i="8"/>
  <c r="N65" i="8"/>
  <c r="G40" i="8"/>
  <c r="S40" i="8"/>
  <c r="O41" i="8"/>
  <c r="K42" i="8"/>
  <c r="G43" i="8"/>
  <c r="S43" i="8"/>
  <c r="O47" i="8"/>
  <c r="K48" i="8"/>
  <c r="G49" i="8"/>
  <c r="G52" i="8"/>
  <c r="G55" i="8"/>
  <c r="G58" i="8"/>
  <c r="K60" i="8"/>
  <c r="G61" i="8"/>
  <c r="S61" i="8"/>
  <c r="O62" i="8"/>
  <c r="K63" i="8"/>
  <c r="O65" i="8"/>
  <c r="K66" i="8"/>
  <c r="H40" i="8"/>
  <c r="T40" i="8"/>
  <c r="P41" i="8"/>
  <c r="L42" i="8"/>
  <c r="H43" i="8"/>
  <c r="T43" i="8"/>
  <c r="P47" i="8"/>
  <c r="L48" i="8"/>
  <c r="H49" i="8"/>
  <c r="H52" i="8"/>
  <c r="H55" i="8"/>
  <c r="H58" i="8"/>
  <c r="L60" i="8"/>
  <c r="H61" i="8"/>
  <c r="T61" i="8"/>
  <c r="P62" i="8"/>
  <c r="L63" i="8"/>
  <c r="P65" i="8"/>
  <c r="L66" i="8"/>
  <c r="I40" i="8"/>
  <c r="I43" i="8"/>
  <c r="I49" i="8"/>
  <c r="I52" i="8"/>
  <c r="I55" i="8"/>
  <c r="I58" i="8"/>
  <c r="I61" i="8"/>
  <c r="H38" i="8"/>
  <c r="U38" i="8"/>
  <c r="J38" i="8"/>
  <c r="I38" i="8"/>
  <c r="K38" i="8"/>
  <c r="L38" i="8"/>
  <c r="M38" i="8"/>
  <c r="N38" i="8"/>
  <c r="O38" i="8"/>
  <c r="P38" i="8"/>
  <c r="D14" i="2"/>
  <c r="M36" i="2"/>
  <c r="E36" i="2"/>
  <c r="L29" i="2"/>
  <c r="M29" i="2"/>
  <c r="K14" i="2"/>
  <c r="M14" i="2"/>
  <c r="L14" i="2"/>
  <c r="D36" i="2"/>
  <c r="D29" i="2"/>
  <c r="K36" i="2"/>
  <c r="L36" i="2"/>
  <c r="G36" i="2"/>
  <c r="H36" i="2"/>
  <c r="I29" i="2"/>
  <c r="G29" i="2"/>
  <c r="I90" i="12"/>
  <c r="I92" i="12"/>
  <c r="I94" i="12" s="1"/>
  <c r="I95" i="12" s="1"/>
  <c r="BL141" i="13"/>
  <c r="J90" i="12"/>
  <c r="J92" i="12"/>
  <c r="J94" i="12" s="1"/>
  <c r="BK140" i="13"/>
  <c r="BM140" i="13"/>
  <c r="BH146" i="13"/>
  <c r="BK134" i="13"/>
  <c r="BK138" i="13" s="1"/>
  <c r="BK142" i="13" s="1"/>
  <c r="H95" i="12"/>
  <c r="J105" i="12"/>
  <c r="BD86" i="13"/>
  <c r="BL142" i="13"/>
  <c r="K102" i="12"/>
  <c r="P37" i="12"/>
  <c r="AK68" i="13"/>
  <c r="H116" i="12"/>
  <c r="BM146" i="13"/>
  <c r="H103" i="12"/>
  <c r="H107" i="12"/>
  <c r="BI140" i="13"/>
  <c r="BI142" i="13"/>
  <c r="L85" i="12"/>
  <c r="L86" i="12" s="1"/>
  <c r="BJ137" i="13"/>
  <c r="J82" i="12"/>
  <c r="E85" i="12" s="1"/>
  <c r="E86" i="12" s="1"/>
  <c r="BK146" i="13"/>
  <c r="BL146" i="13"/>
  <c r="K26" i="18" l="1"/>
  <c r="K7" i="18"/>
  <c r="K34" i="18"/>
  <c r="K23" i="18"/>
  <c r="L24" i="18"/>
  <c r="K19" i="18"/>
  <c r="L26" i="18"/>
  <c r="K78" i="18"/>
  <c r="K77" i="18"/>
  <c r="K48" i="18"/>
  <c r="L72" i="18"/>
  <c r="K38" i="18"/>
  <c r="L79" i="18"/>
  <c r="L38" i="18"/>
  <c r="L15" i="18"/>
  <c r="AG42" i="24"/>
  <c r="AI42" i="24"/>
  <c r="AM42" i="24"/>
  <c r="AL42" i="24"/>
  <c r="AF42" i="24"/>
  <c r="AK42" i="24"/>
  <c r="I99" i="12"/>
  <c r="I103" i="12"/>
  <c r="I107" i="12"/>
  <c r="H78" i="19"/>
  <c r="H77" i="19"/>
  <c r="AI23" i="24"/>
  <c r="AH23" i="24"/>
  <c r="AL23" i="24"/>
  <c r="R41" i="27"/>
  <c r="Q6" i="26" s="1"/>
  <c r="O22" i="27"/>
  <c r="O37" i="27" s="1"/>
  <c r="P37" i="27"/>
  <c r="R37" i="27"/>
  <c r="S37" i="27"/>
  <c r="Q37" i="27"/>
  <c r="T37" i="27"/>
  <c r="U37" i="27"/>
  <c r="AM23" i="24"/>
  <c r="J103" i="12"/>
  <c r="J99" i="12"/>
  <c r="J78" i="19"/>
  <c r="J77" i="19"/>
  <c r="AF66" i="24"/>
  <c r="AM66" i="24"/>
  <c r="AL66" i="24"/>
  <c r="AK66" i="24"/>
  <c r="AI66" i="24"/>
  <c r="AJ66" i="24"/>
  <c r="AG34" i="24"/>
  <c r="AM34" i="24"/>
  <c r="AH34" i="24"/>
  <c r="AK34" i="24"/>
  <c r="AI34" i="24"/>
  <c r="AF34" i="24"/>
  <c r="J26" i="19"/>
  <c r="J27" i="19"/>
  <c r="I45" i="19"/>
  <c r="I43" i="19"/>
  <c r="I44" i="19"/>
  <c r="I42" i="19"/>
  <c r="I52" i="19" s="1"/>
  <c r="AG91" i="24"/>
  <c r="AI91" i="24"/>
  <c r="AJ91" i="24"/>
  <c r="AM91" i="24"/>
  <c r="AI73" i="24"/>
  <c r="AF73" i="24"/>
  <c r="AK73" i="24"/>
  <c r="AJ73" i="24"/>
  <c r="AH73" i="24"/>
  <c r="BD85" i="13"/>
  <c r="BH140" i="13"/>
  <c r="BH141" i="13"/>
  <c r="BH142" i="13"/>
  <c r="L27" i="19"/>
  <c r="AD52" i="24"/>
  <c r="AH52" i="24"/>
  <c r="R43" i="27"/>
  <c r="Q8" i="26" s="1"/>
  <c r="AB72" i="26"/>
  <c r="Z83" i="22" s="1"/>
  <c r="V83" i="22"/>
  <c r="L44" i="19"/>
  <c r="AD46" i="17"/>
  <c r="AD46" i="12"/>
  <c r="AD48" i="24"/>
  <c r="AH48" i="24" s="1"/>
  <c r="AD88" i="24"/>
  <c r="AH88" i="24"/>
  <c r="AD36" i="24"/>
  <c r="AH36" i="24" s="1"/>
  <c r="AD68" i="24"/>
  <c r="AH68" i="24"/>
  <c r="AH17" i="24"/>
  <c r="AD17" i="24"/>
  <c r="AK91" i="24"/>
  <c r="K70" i="19"/>
  <c r="K68" i="19"/>
  <c r="K59" i="19"/>
  <c r="AM92" i="24"/>
  <c r="AI92" i="24"/>
  <c r="AH92" i="24"/>
  <c r="AK92" i="24"/>
  <c r="R36" i="27"/>
  <c r="Q43" i="27" s="1"/>
  <c r="P8" i="26" s="1"/>
  <c r="P36" i="27"/>
  <c r="V36" i="27"/>
  <c r="O36" i="27"/>
  <c r="U36" i="27"/>
  <c r="S36" i="27"/>
  <c r="T36" i="27"/>
  <c r="AJ42" i="24"/>
  <c r="AD78" i="24"/>
  <c r="AL78" i="24" s="1"/>
  <c r="AH78" i="24"/>
  <c r="AL34" i="24"/>
  <c r="AD64" i="24"/>
  <c r="AH64" i="24"/>
  <c r="AJ68" i="24"/>
  <c r="K67" i="19"/>
  <c r="L37" i="18"/>
  <c r="V32" i="27"/>
  <c r="O17" i="27"/>
  <c r="O32" i="27" s="1"/>
  <c r="P32" i="27"/>
  <c r="U32" i="27"/>
  <c r="S32" i="27"/>
  <c r="T32" i="27"/>
  <c r="O12" i="27"/>
  <c r="O27" i="27" s="1"/>
  <c r="O44" i="27" s="1"/>
  <c r="N7" i="26" s="1"/>
  <c r="P27" i="27"/>
  <c r="T27" i="27"/>
  <c r="U27" i="27"/>
  <c r="V27" i="27"/>
  <c r="U44" i="27" s="1"/>
  <c r="T7" i="26" s="1"/>
  <c r="AG10" i="24"/>
  <c r="AJ10" i="24"/>
  <c r="AI43" i="24"/>
  <c r="AM43" i="24"/>
  <c r="AK43" i="24"/>
  <c r="Q32" i="27"/>
  <c r="AJ92" i="24"/>
  <c r="AH42" i="24"/>
  <c r="AD37" i="24"/>
  <c r="AL37" i="24" s="1"/>
  <c r="AJ17" i="24"/>
  <c r="AG100" i="24"/>
  <c r="AL100" i="24"/>
  <c r="AI100" i="24"/>
  <c r="AF100" i="24"/>
  <c r="AJ100" i="24"/>
  <c r="AK100" i="24"/>
  <c r="AM100" i="24"/>
  <c r="I105" i="12"/>
  <c r="I106" i="12" s="1"/>
  <c r="AI11" i="24"/>
  <c r="AM11" i="24"/>
  <c r="AK11" i="24"/>
  <c r="AH11" i="24"/>
  <c r="K78" i="19"/>
  <c r="K77" i="19"/>
  <c r="AM76" i="24"/>
  <c r="AL76" i="24"/>
  <c r="AG76" i="24"/>
  <c r="AH76" i="24"/>
  <c r="AK76" i="24"/>
  <c r="P79" i="22"/>
  <c r="V68" i="26"/>
  <c r="W79" i="22" s="1"/>
  <c r="I48" i="19"/>
  <c r="I55" i="19" s="1"/>
  <c r="J107" i="12"/>
  <c r="R27" i="27"/>
  <c r="R17" i="29"/>
  <c r="K85" i="26"/>
  <c r="O85" i="26" s="1" a="1"/>
  <c r="O85" i="26" s="1"/>
  <c r="J93" i="26"/>
  <c r="K93" i="26" s="1"/>
  <c r="I106" i="17"/>
  <c r="K62" i="18"/>
  <c r="L47" i="18"/>
  <c r="L58" i="19"/>
  <c r="AH66" i="24"/>
  <c r="AJ11" i="24"/>
  <c r="AG38" i="24"/>
  <c r="AM38" i="24"/>
  <c r="AM74" i="24"/>
  <c r="AI74" i="24"/>
  <c r="AL6" i="24"/>
  <c r="AL20" i="24" s="1"/>
  <c r="S5" i="26" s="1"/>
  <c r="AM6" i="24"/>
  <c r="AM20" i="24" s="1"/>
  <c r="T5" i="26" s="1"/>
  <c r="T13" i="26" s="1" a="1"/>
  <c r="T13" i="26" s="1"/>
  <c r="Q31" i="27"/>
  <c r="P31" i="27"/>
  <c r="AH87" i="24"/>
  <c r="H26" i="19"/>
  <c r="AI87" i="24"/>
  <c r="AI98" i="24"/>
  <c r="AL80" i="24"/>
  <c r="AL98" i="24"/>
  <c r="H106" i="17"/>
  <c r="L36" i="18"/>
  <c r="H47" i="19"/>
  <c r="AD55" i="24"/>
  <c r="AD39" i="24"/>
  <c r="AH39" i="24" s="1"/>
  <c r="AJ76" i="24"/>
  <c r="AD86" i="24"/>
  <c r="AH86" i="24"/>
  <c r="U17" i="29"/>
  <c r="O31" i="27"/>
  <c r="O43" i="27" s="1"/>
  <c r="N8" i="26" s="1"/>
  <c r="V34" i="27"/>
  <c r="U34" i="27"/>
  <c r="T41" i="27" s="1"/>
  <c r="S6" i="26" s="1"/>
  <c r="C53" i="19"/>
  <c r="AM67" i="24"/>
  <c r="AL67" i="24"/>
  <c r="T34" i="27"/>
  <c r="AI14" i="24"/>
  <c r="AL74" i="24"/>
  <c r="AD18" i="24"/>
  <c r="AH18" i="24"/>
  <c r="AH75" i="24"/>
  <c r="AI75" i="24"/>
  <c r="T17" i="29"/>
  <c r="H67" i="19"/>
  <c r="AD56" i="24"/>
  <c r="AH56" i="24"/>
  <c r="AL17" i="24"/>
  <c r="AD54" i="24"/>
  <c r="AH54" i="24"/>
  <c r="AD13" i="24"/>
  <c r="AH13" i="24"/>
  <c r="AD79" i="24"/>
  <c r="AH79" i="24" s="1"/>
  <c r="AF7" i="24"/>
  <c r="AF20" i="24" s="1"/>
  <c r="AI7" i="24"/>
  <c r="AI20" i="24" s="1"/>
  <c r="P5" i="26" s="1"/>
  <c r="AJ7" i="24"/>
  <c r="V80" i="22"/>
  <c r="R13" i="29"/>
  <c r="T12" i="29"/>
  <c r="S2" i="26" s="1"/>
  <c r="S32" i="26" s="1" a="1"/>
  <c r="S32" i="26" s="1"/>
  <c r="Q12" i="29"/>
  <c r="P2" i="26" s="1"/>
  <c r="P32" i="26" s="1" a="1"/>
  <c r="P32" i="26" s="1"/>
  <c r="S17" i="29"/>
  <c r="O19" i="29"/>
  <c r="AI15" i="24"/>
  <c r="AJ15" i="24"/>
  <c r="AH15" i="24"/>
  <c r="AG80" i="24"/>
  <c r="AH80" i="24"/>
  <c r="AI80" i="24"/>
  <c r="R29" i="27"/>
  <c r="P29" i="27"/>
  <c r="AI10" i="24"/>
  <c r="AM10" i="24"/>
  <c r="AL10" i="24"/>
  <c r="E53" i="19"/>
  <c r="K27" i="19"/>
  <c r="L73" i="19"/>
  <c r="H59" i="19"/>
  <c r="AL13" i="24"/>
  <c r="AJ33" i="24"/>
  <c r="AD53" i="24"/>
  <c r="AJ53" i="24" s="1"/>
  <c r="AH53" i="24"/>
  <c r="AH43" i="24"/>
  <c r="AJ43" i="24"/>
  <c r="AJ80" i="24"/>
  <c r="AL73" i="24"/>
  <c r="AM16" i="24"/>
  <c r="AI16" i="24"/>
  <c r="J84" i="26"/>
  <c r="O13" i="29"/>
  <c r="U13" i="29"/>
  <c r="S43" i="27"/>
  <c r="R8" i="26" s="1"/>
  <c r="AG62" i="24"/>
  <c r="AH62" i="24"/>
  <c r="AJ62" i="24"/>
  <c r="AI62" i="24"/>
  <c r="AG32" i="24"/>
  <c r="AM32" i="24"/>
  <c r="AL32" i="24"/>
  <c r="AK80" i="24"/>
  <c r="U31" i="27"/>
  <c r="T43" i="27" s="1"/>
  <c r="S8" i="26" s="1"/>
  <c r="V26" i="27"/>
  <c r="U43" i="27" s="1"/>
  <c r="T8" i="26" s="1"/>
  <c r="P26" i="27"/>
  <c r="L77" i="19"/>
  <c r="AM35" i="24"/>
  <c r="AK75" i="24"/>
  <c r="AK87" i="24"/>
  <c r="AM7" i="24"/>
  <c r="AJ39" i="24"/>
  <c r="AD33" i="24"/>
  <c r="AH33" i="24" s="1"/>
  <c r="AJ54" i="24"/>
  <c r="AD104" i="24"/>
  <c r="AG104" i="24" s="1"/>
  <c r="AL11" i="24"/>
  <c r="AF101" i="24"/>
  <c r="AI101" i="24"/>
  <c r="S19" i="29"/>
  <c r="R19" i="29"/>
  <c r="O29" i="27"/>
  <c r="U41" i="27"/>
  <c r="T6" i="26" s="1"/>
  <c r="T37" i="26" s="1" a="1"/>
  <c r="T37" i="26" s="1"/>
  <c r="AG41" i="24"/>
  <c r="AH41" i="24"/>
  <c r="AJ41" i="24"/>
  <c r="AI41" i="24"/>
  <c r="AK62" i="24"/>
  <c r="V29" i="27"/>
  <c r="AK6" i="24"/>
  <c r="AK20" i="24" s="1"/>
  <c r="R5" i="26" s="1"/>
  <c r="AK103" i="24"/>
  <c r="Q26" i="27"/>
  <c r="P43" i="27" s="1"/>
  <c r="O8" i="26" s="1"/>
  <c r="AJ6" i="24"/>
  <c r="AJ20" i="24" s="1"/>
  <c r="Q5" i="26" s="1"/>
  <c r="Q31" i="26" s="1" a="1"/>
  <c r="Q31" i="26" s="1"/>
  <c r="AK24" i="24"/>
  <c r="AK15" i="24"/>
  <c r="AJ24" i="24"/>
  <c r="AL55" i="24"/>
  <c r="P46" i="26" a="1"/>
  <c r="P46" i="26" s="1"/>
  <c r="P74" i="26" a="1"/>
  <c r="P74" i="26" s="1"/>
  <c r="P68" i="26" a="1"/>
  <c r="P68" i="26" s="1"/>
  <c r="P41" i="26" a="1"/>
  <c r="P41" i="26" s="1"/>
  <c r="P34" i="26" a="1"/>
  <c r="P34" i="26" s="1"/>
  <c r="P69" i="26" a="1"/>
  <c r="P69" i="26" s="1"/>
  <c r="P73" i="26" a="1"/>
  <c r="P73" i="26" s="1"/>
  <c r="P70" i="26" a="1"/>
  <c r="P70" i="26" s="1"/>
  <c r="P75" i="26" a="1"/>
  <c r="P75" i="26" s="1"/>
  <c r="P56" i="26" a="1"/>
  <c r="P56" i="26" s="1"/>
  <c r="P71" i="26" a="1"/>
  <c r="P71" i="26" s="1"/>
  <c r="P72" i="26" a="1"/>
  <c r="P72" i="26" s="1"/>
  <c r="P76" i="26" a="1"/>
  <c r="P76" i="26" s="1"/>
  <c r="Q46" i="26" a="1"/>
  <c r="Q46" i="26" s="1"/>
  <c r="Q72" i="26" a="1"/>
  <c r="Q72" i="26" s="1"/>
  <c r="Q41" i="26" a="1"/>
  <c r="Q41" i="26" s="1"/>
  <c r="Q68" i="26" a="1"/>
  <c r="Q68" i="26" s="1"/>
  <c r="Q73" i="26" a="1"/>
  <c r="Q73" i="26" s="1"/>
  <c r="Q70" i="26" a="1"/>
  <c r="Q70" i="26" s="1"/>
  <c r="Q69" i="26" a="1"/>
  <c r="Q69" i="26" s="1"/>
  <c r="Q75" i="26" a="1"/>
  <c r="Q75" i="26" s="1"/>
  <c r="Q74" i="26" a="1"/>
  <c r="Q74" i="26" s="1"/>
  <c r="Q34" i="26" a="1"/>
  <c r="Q34" i="26" s="1"/>
  <c r="Q76" i="26" a="1"/>
  <c r="Q76" i="26" s="1"/>
  <c r="Q71" i="26" a="1"/>
  <c r="Q71" i="26" s="1"/>
  <c r="Q56" i="26" a="1"/>
  <c r="Q56" i="26" s="1"/>
  <c r="I42" i="7"/>
  <c r="L11" i="18"/>
  <c r="AL92" i="24"/>
  <c r="AJ23" i="24"/>
  <c r="AD50" i="24"/>
  <c r="AJ50" i="24" s="1"/>
  <c r="AD40" i="24"/>
  <c r="AH40" i="24"/>
  <c r="AJ37" i="24"/>
  <c r="AD97" i="24"/>
  <c r="AL97" i="24" s="1"/>
  <c r="AH97" i="24"/>
  <c r="AG61" i="24"/>
  <c r="AI61" i="24"/>
  <c r="O12" i="29"/>
  <c r="N2" i="26" s="1"/>
  <c r="N32" i="26" s="1" a="1"/>
  <c r="N32" i="26" s="1"/>
  <c r="Q17" i="29"/>
  <c r="J37" i="26"/>
  <c r="K47" i="26"/>
  <c r="AF25" i="24"/>
  <c r="AI25" i="24"/>
  <c r="S46" i="26" a="1"/>
  <c r="S46" i="26" s="1"/>
  <c r="S34" i="26" a="1"/>
  <c r="S34" i="26" s="1"/>
  <c r="S73" i="26" a="1"/>
  <c r="S73" i="26" s="1"/>
  <c r="S76" i="26" a="1"/>
  <c r="S76" i="26" s="1"/>
  <c r="S72" i="26" a="1"/>
  <c r="S72" i="26" s="1"/>
  <c r="S71" i="26" a="1"/>
  <c r="S71" i="26" s="1"/>
  <c r="S70" i="26" a="1"/>
  <c r="S70" i="26" s="1"/>
  <c r="S74" i="26" a="1"/>
  <c r="S74" i="26" s="1"/>
  <c r="S69" i="26" a="1"/>
  <c r="S69" i="26" s="1"/>
  <c r="S56" i="26" a="1"/>
  <c r="S56" i="26" s="1"/>
  <c r="S75" i="26" a="1"/>
  <c r="S75" i="26" s="1"/>
  <c r="S68" i="26" a="1"/>
  <c r="S68" i="26" s="1"/>
  <c r="S41" i="26" a="1"/>
  <c r="S41" i="26" s="1"/>
  <c r="AL75" i="24"/>
  <c r="R46" i="26" a="1"/>
  <c r="R46" i="26" s="1"/>
  <c r="R73" i="26" a="1"/>
  <c r="R73" i="26" s="1"/>
  <c r="R41" i="26" a="1"/>
  <c r="R41" i="26" s="1"/>
  <c r="R34" i="26" a="1"/>
  <c r="R34" i="26" s="1"/>
  <c r="R74" i="26" a="1"/>
  <c r="R74" i="26" s="1"/>
  <c r="R69" i="26" a="1"/>
  <c r="R69" i="26" s="1"/>
  <c r="R75" i="26" a="1"/>
  <c r="R75" i="26" s="1"/>
  <c r="R56" i="26" a="1"/>
  <c r="R56" i="26" s="1"/>
  <c r="R76" i="26" a="1"/>
  <c r="R76" i="26" s="1"/>
  <c r="R71" i="26" a="1"/>
  <c r="R71" i="26" s="1"/>
  <c r="R68" i="26" a="1"/>
  <c r="R68" i="26" s="1"/>
  <c r="R70" i="26" a="1"/>
  <c r="R70" i="26" s="1"/>
  <c r="R72" i="26" a="1"/>
  <c r="R72" i="26" s="1"/>
  <c r="D53" i="19"/>
  <c r="AK74" i="24"/>
  <c r="AH38" i="24"/>
  <c r="Q17" i="26" a="1"/>
  <c r="Q17" i="26" s="1"/>
  <c r="P17" i="26" a="1"/>
  <c r="P17" i="26" s="1"/>
  <c r="R17" i="26" a="1"/>
  <c r="R17" i="26" s="1"/>
  <c r="N17" i="26" a="1"/>
  <c r="N17" i="26" s="1"/>
  <c r="S17" i="26" a="1"/>
  <c r="S17" i="26" s="1"/>
  <c r="T17" i="26" a="1"/>
  <c r="T17" i="26" s="1"/>
  <c r="O17" i="26" a="1"/>
  <c r="O17" i="26" s="1"/>
  <c r="AK10" i="24"/>
  <c r="Q41" i="27"/>
  <c r="P6" i="26" s="1"/>
  <c r="AI38" i="24"/>
  <c r="AM15" i="24"/>
  <c r="Q24" i="27"/>
  <c r="P41" i="27" s="1"/>
  <c r="O6" i="26" s="1"/>
  <c r="AL68" i="24"/>
  <c r="S41" i="27"/>
  <c r="R6" i="26" s="1"/>
  <c r="AG35" i="24"/>
  <c r="AI35" i="24"/>
  <c r="AJ35" i="24"/>
  <c r="AH35" i="24"/>
  <c r="O46" i="26" a="1"/>
  <c r="O46" i="26" s="1"/>
  <c r="O72" i="26" a="1"/>
  <c r="O72" i="26" s="1"/>
  <c r="O74" i="26" a="1"/>
  <c r="O74" i="26" s="1"/>
  <c r="O70" i="26" a="1"/>
  <c r="O70" i="26" s="1"/>
  <c r="O56" i="26" a="1"/>
  <c r="O56" i="26" s="1"/>
  <c r="O75" i="26" a="1"/>
  <c r="O75" i="26" s="1"/>
  <c r="O68" i="26" a="1"/>
  <c r="O68" i="26" s="1"/>
  <c r="O76" i="26" a="1"/>
  <c r="O76" i="26" s="1"/>
  <c r="O41" i="26" a="1"/>
  <c r="O41" i="26" s="1"/>
  <c r="O34" i="26" a="1"/>
  <c r="O34" i="26" s="1"/>
  <c r="O71" i="26" a="1"/>
  <c r="O71" i="26" s="1"/>
  <c r="O73" i="26" a="1"/>
  <c r="O73" i="26" s="1"/>
  <c r="O69" i="26" a="1"/>
  <c r="O69" i="26" s="1"/>
  <c r="J19" i="23"/>
  <c r="F19" i="23"/>
  <c r="L62" i="18"/>
  <c r="L41" i="18"/>
  <c r="I27" i="19"/>
  <c r="AH91" i="24"/>
  <c r="AJ13" i="24"/>
  <c r="AL43" i="24"/>
  <c r="AL38" i="24"/>
  <c r="AJ34" i="24"/>
  <c r="AH100" i="24"/>
  <c r="AH7" i="24"/>
  <c r="AI99" i="24"/>
  <c r="AH99" i="24"/>
  <c r="AD90" i="24"/>
  <c r="AH90" i="24" s="1"/>
  <c r="O17" i="29"/>
  <c r="T19" i="29"/>
  <c r="P37" i="26" a="1"/>
  <c r="P37" i="26" s="1"/>
  <c r="AG67" i="24"/>
  <c r="AH6" i="24"/>
  <c r="AM101" i="24"/>
  <c r="AK25" i="24"/>
  <c r="AK98" i="24"/>
  <c r="O34" i="27"/>
  <c r="AL99" i="24"/>
  <c r="AK8" i="24"/>
  <c r="AH101" i="24"/>
  <c r="F10" i="23"/>
  <c r="J10" i="23"/>
  <c r="O41" i="27"/>
  <c r="N6" i="26" s="1"/>
  <c r="N83" i="26" s="1" a="1"/>
  <c r="N83" i="26" s="1"/>
  <c r="P54" i="26" a="1"/>
  <c r="P54" i="26" s="1"/>
  <c r="K26" i="26"/>
  <c r="N26" i="26" s="1" a="1"/>
  <c r="N26" i="26" s="1"/>
  <c r="T26" i="26" a="1"/>
  <c r="T26" i="26" s="1"/>
  <c r="O26" i="26" a="1"/>
  <c r="O26" i="26" s="1"/>
  <c r="L43" i="23"/>
  <c r="G56" i="22" s="1"/>
  <c r="K43" i="23"/>
  <c r="F56" i="22" s="1"/>
  <c r="R31" i="26" a="1"/>
  <c r="R31" i="26" s="1"/>
  <c r="N31" i="26" a="1"/>
  <c r="N31" i="26" s="1"/>
  <c r="T25" i="26" a="1"/>
  <c r="T25" i="26" s="1"/>
  <c r="S25" i="26" a="1"/>
  <c r="S25" i="26" s="1"/>
  <c r="R25" i="26" a="1"/>
  <c r="R25" i="26" s="1"/>
  <c r="Q25" i="26" a="1"/>
  <c r="Q25" i="26" s="1"/>
  <c r="N25" i="26" a="1"/>
  <c r="N25" i="26" s="1"/>
  <c r="P25" i="26" a="1"/>
  <c r="P25" i="26" s="1"/>
  <c r="O25" i="26" a="1"/>
  <c r="O25" i="26" s="1"/>
  <c r="T29" i="26" a="1"/>
  <c r="T29" i="26" s="1"/>
  <c r="R29" i="26" a="1"/>
  <c r="R29" i="26" s="1"/>
  <c r="S29" i="26" a="1"/>
  <c r="S29" i="26" s="1"/>
  <c r="N29" i="26" a="1"/>
  <c r="N29" i="26" s="1"/>
  <c r="P29" i="26" a="1"/>
  <c r="P29" i="26" s="1"/>
  <c r="O29" i="26" a="1"/>
  <c r="O29" i="26" s="1"/>
  <c r="Q29" i="26" a="1"/>
  <c r="Q29" i="26" s="1"/>
  <c r="N23" i="26" a="1"/>
  <c r="N23" i="26" s="1"/>
  <c r="T23" i="26" a="1"/>
  <c r="T23" i="26" s="1"/>
  <c r="R23" i="26" a="1"/>
  <c r="R23" i="26" s="1"/>
  <c r="Q33" i="26" a="1"/>
  <c r="Q33" i="26" s="1"/>
  <c r="Y33" i="26" s="1"/>
  <c r="P33" i="26" a="1"/>
  <c r="P33" i="26" s="1"/>
  <c r="R33" i="22" s="1"/>
  <c r="O33" i="26" a="1"/>
  <c r="O33" i="26" s="1"/>
  <c r="N33" i="26" a="1"/>
  <c r="N33" i="26" s="1"/>
  <c r="V33" i="26" s="1"/>
  <c r="W33" i="22" s="1"/>
  <c r="T33" i="26" a="1"/>
  <c r="T33" i="26" s="1"/>
  <c r="AB33" i="26" s="1"/>
  <c r="Z33" i="22" s="1"/>
  <c r="S33" i="26" a="1"/>
  <c r="S33" i="26" s="1"/>
  <c r="AA33" i="26" s="1"/>
  <c r="R33" i="26" a="1"/>
  <c r="R33" i="26" s="1"/>
  <c r="Z33" i="26" s="1"/>
  <c r="Y33" i="22" s="1"/>
  <c r="N52" i="26" a="1"/>
  <c r="N52" i="26" s="1"/>
  <c r="S52" i="26" a="1"/>
  <c r="S52" i="26" s="1"/>
  <c r="T52" i="26" a="1"/>
  <c r="T52" i="26" s="1"/>
  <c r="P52" i="26" a="1"/>
  <c r="P52" i="26" s="1"/>
  <c r="O52" i="26" a="1"/>
  <c r="O52" i="26" s="1"/>
  <c r="R52" i="26" a="1"/>
  <c r="R52" i="26" s="1"/>
  <c r="Q52" i="26" a="1"/>
  <c r="Q52" i="26" s="1"/>
  <c r="Q83" i="26" a="1"/>
  <c r="Q83" i="26" s="1"/>
  <c r="P83" i="26" a="1"/>
  <c r="P83" i="26" s="1"/>
  <c r="O83" i="26" a="1"/>
  <c r="O83" i="26" s="1"/>
  <c r="S21" i="26" a="1"/>
  <c r="S21" i="26" s="1"/>
  <c r="R21" i="26" a="1"/>
  <c r="R21" i="26" s="1"/>
  <c r="N21" i="26" a="1"/>
  <c r="N21" i="26" s="1"/>
  <c r="Q21" i="26" a="1"/>
  <c r="Q21" i="26" s="1"/>
  <c r="P21" i="26" a="1"/>
  <c r="P21" i="26" s="1"/>
  <c r="O21" i="26" a="1"/>
  <c r="O21" i="26" s="1"/>
  <c r="T21" i="26" a="1"/>
  <c r="T21" i="26" s="1"/>
  <c r="O58" i="26" a="1"/>
  <c r="O58" i="26" s="1"/>
  <c r="N58" i="26" a="1"/>
  <c r="N58" i="26" s="1"/>
  <c r="T58" i="26" a="1"/>
  <c r="T58" i="26" s="1"/>
  <c r="S58" i="26" a="1"/>
  <c r="S58" i="26" s="1"/>
  <c r="R58" i="26" a="1"/>
  <c r="R58" i="26" s="1"/>
  <c r="Q58" i="26" a="1"/>
  <c r="Q58" i="26" s="1"/>
  <c r="P58" i="26" a="1"/>
  <c r="P58" i="26" s="1"/>
  <c r="T85" i="26" a="1"/>
  <c r="T85" i="26" s="1"/>
  <c r="N13" i="26" a="1"/>
  <c r="N13" i="26" s="1"/>
  <c r="R13" i="26" a="1"/>
  <c r="R13" i="26" s="1"/>
  <c r="R14" i="26" a="1"/>
  <c r="R14" i="26" s="1"/>
  <c r="S62" i="26" a="1"/>
  <c r="S62" i="26" s="1"/>
  <c r="R62" i="26" a="1"/>
  <c r="R62" i="26" s="1"/>
  <c r="Q62" i="26" a="1"/>
  <c r="Q62" i="26" s="1"/>
  <c r="N62" i="26" a="1"/>
  <c r="N62" i="26" s="1"/>
  <c r="O62" i="26" a="1"/>
  <c r="O62" i="26" s="1"/>
  <c r="P62" i="26" a="1"/>
  <c r="P62" i="26" s="1"/>
  <c r="T62" i="26" a="1"/>
  <c r="T62" i="26" s="1"/>
  <c r="S49" i="26" a="1"/>
  <c r="S49" i="26" s="1"/>
  <c r="R49" i="26" a="1"/>
  <c r="R49" i="26" s="1"/>
  <c r="T49" i="26" a="1"/>
  <c r="T49" i="26" s="1"/>
  <c r="N49" i="26" a="1"/>
  <c r="N49" i="26" s="1"/>
  <c r="P49" i="26" a="1"/>
  <c r="P49" i="26" s="1"/>
  <c r="Q49" i="26" a="1"/>
  <c r="Q49" i="26" s="1"/>
  <c r="O49" i="26" a="1"/>
  <c r="O49" i="26" s="1"/>
  <c r="T54" i="26" a="1"/>
  <c r="T54" i="26" s="1"/>
  <c r="S54" i="26" a="1"/>
  <c r="S54" i="26" s="1"/>
  <c r="Q54" i="26" a="1"/>
  <c r="Q54" i="26" s="1"/>
  <c r="R54" i="26" a="1"/>
  <c r="R54" i="26" s="1"/>
  <c r="N54" i="26" a="1"/>
  <c r="N54" i="26" s="1"/>
  <c r="O54" i="26" a="1"/>
  <c r="O54" i="26" s="1"/>
  <c r="O16" i="26" a="1"/>
  <c r="O16" i="26" s="1"/>
  <c r="N16" i="26" a="1"/>
  <c r="N16" i="26" s="1"/>
  <c r="T16" i="26" a="1"/>
  <c r="T16" i="26" s="1"/>
  <c r="S16" i="26" a="1"/>
  <c r="S16" i="26" s="1"/>
  <c r="P16" i="26" a="1"/>
  <c r="P16" i="26" s="1"/>
  <c r="Q16" i="26" a="1"/>
  <c r="Q16" i="26" s="1"/>
  <c r="R16" i="26" a="1"/>
  <c r="R16" i="26" s="1"/>
  <c r="T27" i="26" a="1"/>
  <c r="T27" i="26" s="1"/>
  <c r="R27" i="26" a="1"/>
  <c r="R27" i="26" s="1"/>
  <c r="Q27" i="26" a="1"/>
  <c r="Q27" i="26" s="1"/>
  <c r="P27" i="26" a="1"/>
  <c r="P27" i="26" s="1"/>
  <c r="O27" i="26" a="1"/>
  <c r="O27" i="26" s="1"/>
  <c r="N27" i="26" a="1"/>
  <c r="N27" i="26" s="1"/>
  <c r="S27" i="26" a="1"/>
  <c r="S27" i="26" s="1"/>
  <c r="R39" i="26" a="1"/>
  <c r="R39" i="26" s="1"/>
  <c r="Q39" i="26" a="1"/>
  <c r="Q39" i="26" s="1"/>
  <c r="P39" i="26" a="1"/>
  <c r="P39" i="26" s="1"/>
  <c r="N39" i="26" a="1"/>
  <c r="N39" i="26" s="1"/>
  <c r="O39" i="26" a="1"/>
  <c r="O39" i="26" s="1"/>
  <c r="T39" i="26" a="1"/>
  <c r="T39" i="26" s="1"/>
  <c r="S39" i="26" a="1"/>
  <c r="S39" i="26" s="1"/>
  <c r="T65" i="26" a="1"/>
  <c r="T65" i="26" s="1"/>
  <c r="AB65" i="26" s="1"/>
  <c r="Z76" i="22" s="1"/>
  <c r="S65" i="26" a="1"/>
  <c r="S65" i="26" s="1"/>
  <c r="U76" i="22" s="1"/>
  <c r="R65" i="26" a="1"/>
  <c r="R65" i="26" s="1"/>
  <c r="Z65" i="26" s="1"/>
  <c r="Y76" i="22" s="1"/>
  <c r="Q65" i="26" a="1"/>
  <c r="Q65" i="26" s="1"/>
  <c r="Y65" i="26" s="1"/>
  <c r="N65" i="26" a="1"/>
  <c r="N65" i="26" s="1"/>
  <c r="P76" i="22" s="1"/>
  <c r="P65" i="26" a="1"/>
  <c r="P65" i="26" s="1"/>
  <c r="X65" i="26" s="1"/>
  <c r="X76" i="22" s="1"/>
  <c r="O65" i="26" a="1"/>
  <c r="O65" i="26" s="1"/>
  <c r="Q76" i="22" s="1"/>
  <c r="R36" i="26" a="1"/>
  <c r="R36" i="26" s="1"/>
  <c r="Q36" i="26" a="1"/>
  <c r="Q36" i="26" s="1"/>
  <c r="P36" i="26" a="1"/>
  <c r="P36" i="26" s="1"/>
  <c r="O36" i="26" a="1"/>
  <c r="O36" i="26" s="1"/>
  <c r="N36" i="26" a="1"/>
  <c r="N36" i="26" s="1"/>
  <c r="S36" i="26" a="1"/>
  <c r="S36" i="26" s="1"/>
  <c r="T36" i="26" a="1"/>
  <c r="T36" i="26" s="1"/>
  <c r="K38" i="26"/>
  <c r="K64" i="26"/>
  <c r="K63" i="26"/>
  <c r="J67" i="26"/>
  <c r="K66" i="26"/>
  <c r="AB45" i="26"/>
  <c r="Z49" i="22" s="1"/>
  <c r="V49" i="22"/>
  <c r="AA45" i="26"/>
  <c r="U49" i="22"/>
  <c r="Y45" i="26"/>
  <c r="S49" i="22"/>
  <c r="Z45" i="26"/>
  <c r="Y49" i="22" s="1"/>
  <c r="T49" i="22"/>
  <c r="R49" i="22"/>
  <c r="V45" i="26"/>
  <c r="W49" i="22" s="1"/>
  <c r="P49" i="22"/>
  <c r="Q49" i="22"/>
  <c r="W45" i="26"/>
  <c r="K74" i="18"/>
  <c r="Q56" i="22"/>
  <c r="Q57" i="22"/>
  <c r="K53" i="18"/>
  <c r="J81" i="26"/>
  <c r="J82" i="26"/>
  <c r="J42" i="26"/>
  <c r="K42" i="26" s="1"/>
  <c r="J43" i="26"/>
  <c r="K43" i="26" s="1"/>
  <c r="J19" i="26"/>
  <c r="K19" i="26" s="1"/>
  <c r="J80" i="26"/>
  <c r="J35" i="26"/>
  <c r="J20" i="26"/>
  <c r="K20" i="26" s="1"/>
  <c r="J53" i="26"/>
  <c r="K53" i="26" s="1"/>
  <c r="K91" i="26"/>
  <c r="J61" i="26"/>
  <c r="K61" i="26" s="1"/>
  <c r="J60" i="26"/>
  <c r="K60" i="26" s="1"/>
  <c r="J59" i="26"/>
  <c r="J40" i="26"/>
  <c r="K40" i="26" s="1"/>
  <c r="J30" i="26"/>
  <c r="K30" i="26" s="1"/>
  <c r="K22" i="26"/>
  <c r="AF56" i="24"/>
  <c r="AG56" i="24"/>
  <c r="AG54" i="24"/>
  <c r="AF54" i="24"/>
  <c r="AF79" i="24"/>
  <c r="AG79" i="24"/>
  <c r="AG53" i="24"/>
  <c r="AF53" i="24"/>
  <c r="AF40" i="24"/>
  <c r="AG40" i="24"/>
  <c r="AF97" i="24"/>
  <c r="AG97" i="24"/>
  <c r="AF48" i="24"/>
  <c r="AG48" i="24"/>
  <c r="AG39" i="24"/>
  <c r="AF39" i="24"/>
  <c r="AG86" i="24"/>
  <c r="AF86" i="24"/>
  <c r="AF52" i="24"/>
  <c r="AG52" i="24"/>
  <c r="AF78" i="24"/>
  <c r="AF64" i="24"/>
  <c r="AG64" i="24"/>
  <c r="AG101" i="24"/>
  <c r="AF91" i="24"/>
  <c r="AG74" i="24"/>
  <c r="AF74" i="24"/>
  <c r="AG68" i="24"/>
  <c r="AF68" i="24"/>
  <c r="AG99" i="24"/>
  <c r="AF99" i="24"/>
  <c r="AG23" i="24"/>
  <c r="AF23" i="24"/>
  <c r="AG43" i="24"/>
  <c r="AF43" i="24"/>
  <c r="AG16" i="24"/>
  <c r="AG37" i="24"/>
  <c r="AF37" i="24"/>
  <c r="AG92" i="24"/>
  <c r="AF92" i="24"/>
  <c r="AG66" i="24"/>
  <c r="AF88" i="24"/>
  <c r="AF61" i="24"/>
  <c r="AF38" i="24"/>
  <c r="AF75" i="24"/>
  <c r="AG75" i="24"/>
  <c r="AG7" i="24"/>
  <c r="AF15" i="24"/>
  <c r="AG15" i="24"/>
  <c r="AG8" i="24"/>
  <c r="AF8" i="24"/>
  <c r="AG9" i="24"/>
  <c r="AF9" i="24"/>
  <c r="AG6" i="24"/>
  <c r="AG20" i="24" s="1"/>
  <c r="N5" i="26" s="1"/>
  <c r="AF16" i="24"/>
  <c r="AF10" i="24"/>
  <c r="U102" i="24"/>
  <c r="G12" i="23"/>
  <c r="H12" i="23" s="1"/>
  <c r="I12" i="23" s="1"/>
  <c r="N12" i="23" s="1"/>
  <c r="I13" i="22" s="1"/>
  <c r="E48" i="23"/>
  <c r="J48" i="23" s="1"/>
  <c r="E12" i="23"/>
  <c r="E25" i="23"/>
  <c r="J25" i="23" s="1"/>
  <c r="F41" i="23" a="1"/>
  <c r="F41" i="23" s="1"/>
  <c r="G41" i="23" s="1"/>
  <c r="E50" i="23"/>
  <c r="J50" i="23" s="1"/>
  <c r="F70" i="23" a="1"/>
  <c r="F70" i="23" s="1"/>
  <c r="K70" i="23" s="1"/>
  <c r="F88" i="22" s="1"/>
  <c r="E46" i="23"/>
  <c r="J46" i="23" s="1"/>
  <c r="G46" i="23"/>
  <c r="L46" i="23" s="1"/>
  <c r="G62" i="22" s="1"/>
  <c r="G25" i="23"/>
  <c r="G50" i="23"/>
  <c r="H50" i="23" s="1"/>
  <c r="F82" i="23" a="1"/>
  <c r="F82" i="23" s="1"/>
  <c r="K82" i="23" s="1"/>
  <c r="F100" i="22" s="1"/>
  <c r="E35" i="23"/>
  <c r="J35" i="23" s="1"/>
  <c r="F64" i="23" a="1"/>
  <c r="F64" i="23" s="1"/>
  <c r="F83" i="23" a="1"/>
  <c r="F83" i="23" s="1"/>
  <c r="F79" i="23" a="1"/>
  <c r="F79" i="23" s="1"/>
  <c r="F72" i="23" a="1"/>
  <c r="F72" i="23" s="1"/>
  <c r="F77" i="23" s="1"/>
  <c r="F71" i="23" a="1"/>
  <c r="F71" i="23" s="1"/>
  <c r="F86" i="23" a="1"/>
  <c r="F86" i="23" s="1"/>
  <c r="F65" i="23" a="1"/>
  <c r="F65" i="23" s="1"/>
  <c r="F68" i="23" a="1"/>
  <c r="F68" i="23" s="1"/>
  <c r="F84" i="23" a="1"/>
  <c r="F84" i="23" s="1"/>
  <c r="K37" i="23"/>
  <c r="F46" i="22" s="1"/>
  <c r="G37" i="23"/>
  <c r="F28" i="23" a="1"/>
  <c r="F28" i="23" s="1"/>
  <c r="F40" i="23" a="1"/>
  <c r="F40" i="23" s="1"/>
  <c r="E22" i="23"/>
  <c r="J22" i="23" s="1"/>
  <c r="G22" i="23"/>
  <c r="F81" i="23" a="1"/>
  <c r="F81" i="23" s="1"/>
  <c r="F67" i="23" a="1"/>
  <c r="F67" i="23" s="1"/>
  <c r="F63" i="23" a="1"/>
  <c r="F63" i="23" s="1"/>
  <c r="F80" i="23" a="1"/>
  <c r="F80" i="23" s="1"/>
  <c r="F39" i="23" a="1"/>
  <c r="F39" i="23" s="1"/>
  <c r="F85" i="23" a="1"/>
  <c r="F85" i="23" s="1"/>
  <c r="G35" i="23"/>
  <c r="L35" i="23" s="1"/>
  <c r="G44" i="22" s="1"/>
  <c r="G48" i="23"/>
  <c r="H48" i="23" s="1"/>
  <c r="K33" i="23"/>
  <c r="F42" i="22" s="1"/>
  <c r="G33" i="23"/>
  <c r="F62" i="23" a="1"/>
  <c r="F62" i="23" s="1"/>
  <c r="F66" i="23" a="1"/>
  <c r="F66" i="23" s="1"/>
  <c r="E37" i="23"/>
  <c r="J37" i="23" s="1"/>
  <c r="F69" i="23" a="1"/>
  <c r="F69" i="23" s="1"/>
  <c r="F38" i="23" a="1"/>
  <c r="F38" i="23" s="1"/>
  <c r="F42" i="23" a="1"/>
  <c r="F42" i="23" s="1"/>
  <c r="J15" i="26"/>
  <c r="K15" i="26" s="1"/>
  <c r="F8" i="23"/>
  <c r="K8" i="23" s="1"/>
  <c r="F9" i="22" s="1"/>
  <c r="K56" i="23"/>
  <c r="F74" i="22" s="1"/>
  <c r="K57" i="23"/>
  <c r="F75" i="22" s="1"/>
  <c r="K60" i="23"/>
  <c r="F78" i="22" s="1"/>
  <c r="K59" i="23"/>
  <c r="F77" i="22" s="1"/>
  <c r="K20" i="23"/>
  <c r="F23" i="22" s="1"/>
  <c r="J29" i="23"/>
  <c r="G29" i="23"/>
  <c r="H29" i="23" s="1"/>
  <c r="K24" i="23"/>
  <c r="F29" i="22" s="1"/>
  <c r="L20" i="23"/>
  <c r="G23" i="22" s="1"/>
  <c r="J36" i="23"/>
  <c r="F36" i="23"/>
  <c r="G6" i="23"/>
  <c r="L6" i="23" s="1"/>
  <c r="G7" i="22" s="1"/>
  <c r="L17" i="23"/>
  <c r="G20" i="22" s="1"/>
  <c r="G13" i="23"/>
  <c r="K13" i="23"/>
  <c r="F14" i="22" s="1"/>
  <c r="G53" i="23"/>
  <c r="H53" i="23" s="1"/>
  <c r="G23" i="23"/>
  <c r="K23" i="23"/>
  <c r="F26" i="22" s="1"/>
  <c r="L32" i="23"/>
  <c r="G41" i="22" s="1"/>
  <c r="L51" i="23"/>
  <c r="G69" i="22" s="1"/>
  <c r="K17" i="23"/>
  <c r="F20" i="22" s="1"/>
  <c r="K32" i="23"/>
  <c r="F41" i="22" s="1"/>
  <c r="G16" i="23"/>
  <c r="L16" i="23" s="1"/>
  <c r="G19" i="22" s="1"/>
  <c r="K51" i="23"/>
  <c r="F69" i="22" s="1"/>
  <c r="G59" i="23"/>
  <c r="L59" i="23" s="1"/>
  <c r="G77" i="22" s="1"/>
  <c r="G56" i="23"/>
  <c r="L56" i="23" s="1"/>
  <c r="G74" i="22" s="1"/>
  <c r="G52" i="23"/>
  <c r="K52" i="23"/>
  <c r="F70" i="22" s="1"/>
  <c r="K47" i="23"/>
  <c r="F63" i="22" s="1"/>
  <c r="G47" i="23"/>
  <c r="G7" i="23"/>
  <c r="L7" i="23" s="1"/>
  <c r="G8" i="22" s="1"/>
  <c r="K15" i="23"/>
  <c r="F18" i="22" s="1"/>
  <c r="G57" i="23"/>
  <c r="L57" i="23" s="1"/>
  <c r="G75" i="22" s="1"/>
  <c r="G54" i="23"/>
  <c r="L54" i="23" s="1"/>
  <c r="G72" i="22" s="1"/>
  <c r="L15" i="23"/>
  <c r="G18" i="22" s="1"/>
  <c r="G58" i="23"/>
  <c r="K58" i="23"/>
  <c r="F76" i="22" s="1"/>
  <c r="G60" i="23"/>
  <c r="H60" i="23" s="1"/>
  <c r="G45" i="23"/>
  <c r="K45" i="23"/>
  <c r="F61" i="22" s="1"/>
  <c r="L18" i="23"/>
  <c r="G21" i="22" s="1"/>
  <c r="L24" i="23"/>
  <c r="G29" i="22" s="1"/>
  <c r="K18" i="23"/>
  <c r="F21" i="22" s="1"/>
  <c r="G55" i="23"/>
  <c r="K55" i="23"/>
  <c r="F73" i="22" s="1"/>
  <c r="I51" i="23"/>
  <c r="N51" i="23" s="1"/>
  <c r="I69" i="22" s="1"/>
  <c r="M51" i="23"/>
  <c r="H69" i="22" s="1"/>
  <c r="G31" i="23"/>
  <c r="K31" i="23"/>
  <c r="F40" i="22" s="1"/>
  <c r="G9" i="23"/>
  <c r="K9" i="23"/>
  <c r="F10" i="22" s="1"/>
  <c r="G26" i="23"/>
  <c r="K26" i="23"/>
  <c r="F33" i="22" s="1"/>
  <c r="M20" i="23"/>
  <c r="H23" i="22" s="1"/>
  <c r="I20" i="23"/>
  <c r="N20" i="23" s="1"/>
  <c r="I23" i="22" s="1"/>
  <c r="I17" i="23"/>
  <c r="N17" i="23" s="1"/>
  <c r="I20" i="22" s="1"/>
  <c r="M17" i="23"/>
  <c r="H20" i="22" s="1"/>
  <c r="N43" i="23"/>
  <c r="I56" i="22" s="1"/>
  <c r="M43" i="23"/>
  <c r="H56" i="22" s="1"/>
  <c r="I32" i="23"/>
  <c r="N32" i="23" s="1"/>
  <c r="I41" i="22" s="1"/>
  <c r="M32" i="23"/>
  <c r="H41" i="22" s="1"/>
  <c r="I24" i="23"/>
  <c r="N24" i="23" s="1"/>
  <c r="I29" i="22" s="1"/>
  <c r="M24" i="23"/>
  <c r="H29" i="22" s="1"/>
  <c r="I18" i="23"/>
  <c r="N18" i="23" s="1"/>
  <c r="I21" i="22" s="1"/>
  <c r="M18" i="23"/>
  <c r="H21" i="22" s="1"/>
  <c r="I15" i="23"/>
  <c r="N15" i="23" s="1"/>
  <c r="I18" i="22" s="1"/>
  <c r="M15" i="23"/>
  <c r="H18" i="22" s="1"/>
  <c r="T49" i="24"/>
  <c r="Q102" i="24"/>
  <c r="AZ14" i="24"/>
  <c r="BF14" i="24" s="1"/>
  <c r="BE14" i="24"/>
  <c r="T102" i="24"/>
  <c r="R102" i="24"/>
  <c r="S102" i="24"/>
  <c r="K58" i="18"/>
  <c r="L27" i="18"/>
  <c r="L23" i="18"/>
  <c r="L61" i="18"/>
  <c r="L14" i="18"/>
  <c r="K17" i="18"/>
  <c r="K9" i="18"/>
  <c r="H14" i="2"/>
  <c r="H38" i="2" s="1"/>
  <c r="K25" i="18"/>
  <c r="K44" i="18"/>
  <c r="K81" i="18"/>
  <c r="K49" i="18"/>
  <c r="K33" i="18"/>
  <c r="K54" i="18"/>
  <c r="K57" i="18"/>
  <c r="K79" i="18"/>
  <c r="K56" i="18"/>
  <c r="K50" i="18"/>
  <c r="K29" i="18"/>
  <c r="K27" i="18"/>
  <c r="K55" i="18"/>
  <c r="L70" i="18"/>
  <c r="L43" i="18"/>
  <c r="L78" i="18"/>
  <c r="K52" i="18"/>
  <c r="L48" i="18"/>
  <c r="L80" i="18"/>
  <c r="L13" i="18"/>
  <c r="L32" i="18"/>
  <c r="L40" i="18"/>
  <c r="L31" i="18"/>
  <c r="K41" i="18"/>
  <c r="K16" i="18"/>
  <c r="L22" i="18"/>
  <c r="K20" i="18"/>
  <c r="L82" i="18"/>
  <c r="K8" i="18"/>
  <c r="L42" i="18"/>
  <c r="L69" i="18"/>
  <c r="K71" i="18"/>
  <c r="L60" i="18"/>
  <c r="K47" i="18"/>
  <c r="L81" i="18"/>
  <c r="L28" i="18"/>
  <c r="D40" i="9"/>
  <c r="C41" i="11"/>
  <c r="M47" i="11"/>
  <c r="F47" i="11"/>
  <c r="M46" i="11"/>
  <c r="F46" i="11"/>
  <c r="M44" i="11"/>
  <c r="F44" i="11"/>
  <c r="M45" i="11"/>
  <c r="F45" i="11"/>
  <c r="K47" i="19"/>
  <c r="K52" i="19" s="1"/>
  <c r="J58" i="19"/>
  <c r="L45" i="19"/>
  <c r="L47" i="19"/>
  <c r="L52" i="19" s="1"/>
  <c r="J59" i="19"/>
  <c r="J68" i="19"/>
  <c r="J46" i="19"/>
  <c r="J42" i="19"/>
  <c r="J52" i="19" s="1"/>
  <c r="J49" i="19"/>
  <c r="J40" i="19"/>
  <c r="J47" i="19"/>
  <c r="J44" i="19"/>
  <c r="I54" i="19"/>
  <c r="I58" i="19"/>
  <c r="I64" i="19"/>
  <c r="K58" i="19"/>
  <c r="L59" i="19"/>
  <c r="L68" i="19"/>
  <c r="L70" i="19"/>
  <c r="K45" i="19"/>
  <c r="H52" i="19"/>
  <c r="H40" i="19"/>
  <c r="H44" i="19"/>
  <c r="H49" i="19"/>
  <c r="H46" i="19"/>
  <c r="H45" i="19"/>
  <c r="J67" i="19"/>
  <c r="J70" i="19"/>
  <c r="J43" i="19"/>
  <c r="L69" i="19"/>
  <c r="I40" i="19"/>
  <c r="I49" i="19"/>
  <c r="I46" i="19"/>
  <c r="I53" i="19" s="1"/>
  <c r="J74" i="19"/>
  <c r="L67" i="19"/>
  <c r="H43" i="19"/>
  <c r="K64" i="19"/>
  <c r="L48" i="19"/>
  <c r="L55" i="19" s="1"/>
  <c r="L49" i="19"/>
  <c r="L43" i="19"/>
  <c r="L53" i="19" s="1"/>
  <c r="L40" i="19"/>
  <c r="H62" i="19"/>
  <c r="H64" i="19"/>
  <c r="H58" i="19"/>
  <c r="L64" i="19"/>
  <c r="K46" i="19"/>
  <c r="K40" i="19"/>
  <c r="K49" i="19"/>
  <c r="K43" i="19"/>
  <c r="K48" i="19"/>
  <c r="K55" i="19" s="1"/>
  <c r="J62" i="19"/>
  <c r="J69" i="19"/>
  <c r="I73" i="19"/>
  <c r="J45" i="19"/>
  <c r="I68" i="19"/>
  <c r="I59" i="19"/>
  <c r="K44" i="19"/>
  <c r="J38" i="2"/>
  <c r="AG44" i="17"/>
  <c r="C41" i="9" s="1"/>
  <c r="AL44" i="17"/>
  <c r="AE42" i="17"/>
  <c r="P43" i="17"/>
  <c r="S43" i="17"/>
  <c r="J106" i="17"/>
  <c r="L106" i="17" s="1"/>
  <c r="H114" i="17"/>
  <c r="H108" i="17"/>
  <c r="H109" i="17" s="1"/>
  <c r="L92" i="17"/>
  <c r="I93" i="17"/>
  <c r="I116" i="17" s="1"/>
  <c r="J93" i="17"/>
  <c r="J116" i="17" s="1"/>
  <c r="J107" i="17"/>
  <c r="J105" i="17"/>
  <c r="J99" i="17"/>
  <c r="L99" i="17" s="1"/>
  <c r="J95" i="17"/>
  <c r="L94" i="17" s="1"/>
  <c r="I114" i="17"/>
  <c r="I108" i="17"/>
  <c r="I109" i="17" s="1"/>
  <c r="I111" i="17" s="1"/>
  <c r="H73" i="8"/>
  <c r="H77" i="8"/>
  <c r="H75" i="8"/>
  <c r="H74" i="8"/>
  <c r="L38" i="2"/>
  <c r="D38" i="2"/>
  <c r="K38" i="2"/>
  <c r="M38" i="2"/>
  <c r="B21" i="9"/>
  <c r="B10" i="9"/>
  <c r="B20" i="9"/>
  <c r="B11" i="9"/>
  <c r="B35" i="9"/>
  <c r="B12" i="9"/>
  <c r="B17" i="9"/>
  <c r="B13" i="9"/>
  <c r="B14" i="9"/>
  <c r="B15" i="9"/>
  <c r="B16" i="9"/>
  <c r="B34" i="9"/>
  <c r="B39" i="8"/>
  <c r="B18" i="9"/>
  <c r="B19" i="9"/>
  <c r="I38" i="2"/>
  <c r="G38" i="2"/>
  <c r="I114" i="12"/>
  <c r="I108" i="12"/>
  <c r="L92" i="12"/>
  <c r="J93" i="12"/>
  <c r="J116" i="12" s="1"/>
  <c r="I109" i="12"/>
  <c r="I111" i="12" s="1"/>
  <c r="I93" i="12"/>
  <c r="I116" i="12" s="1"/>
  <c r="BJ141" i="13"/>
  <c r="BJ140" i="13"/>
  <c r="H106" i="12"/>
  <c r="H114" i="12"/>
  <c r="H108" i="12"/>
  <c r="AE42" i="12"/>
  <c r="P41" i="12"/>
  <c r="P44" i="12" s="1"/>
  <c r="I40" i="7" s="1"/>
  <c r="J114" i="12"/>
  <c r="J108" i="12"/>
  <c r="BJ142" i="13"/>
  <c r="J95" i="12"/>
  <c r="BK141" i="13"/>
  <c r="S57" i="26" l="1" a="1"/>
  <c r="S57" i="26" s="1"/>
  <c r="S44" i="26" a="1"/>
  <c r="S44" i="26" s="1"/>
  <c r="S83" i="26" a="1"/>
  <c r="S83" i="26" s="1"/>
  <c r="S37" i="26" a="1"/>
  <c r="S37" i="26" s="1"/>
  <c r="AJ65" i="24"/>
  <c r="AJ89" i="24"/>
  <c r="AJ77" i="24"/>
  <c r="P28" i="26" a="1"/>
  <c r="P28" i="26" s="1"/>
  <c r="P18" i="26" a="1"/>
  <c r="P18" i="26" s="1"/>
  <c r="P23" i="26" a="1"/>
  <c r="P23" i="26" s="1"/>
  <c r="P31" i="26" a="1"/>
  <c r="P31" i="26" s="1"/>
  <c r="P13" i="26" a="1"/>
  <c r="P13" i="26" s="1"/>
  <c r="P14" i="26" a="1"/>
  <c r="P14" i="26" s="1"/>
  <c r="S87" i="22"/>
  <c r="Y76" i="26"/>
  <c r="U79" i="22"/>
  <c r="AA68" i="26"/>
  <c r="S34" i="22"/>
  <c r="Y34" i="26"/>
  <c r="X71" i="26"/>
  <c r="X82" i="22" s="1"/>
  <c r="R82" i="22"/>
  <c r="S28" i="26" a="1"/>
  <c r="S28" i="26" s="1"/>
  <c r="S18" i="26" a="1"/>
  <c r="S18" i="26" s="1"/>
  <c r="N28" i="26" a="1"/>
  <c r="N28" i="26" s="1"/>
  <c r="N18" i="26" a="1"/>
  <c r="N18" i="26" s="1"/>
  <c r="Q13" i="26" a="1"/>
  <c r="Q13" i="26" s="1"/>
  <c r="AH20" i="24"/>
  <c r="O5" i="26" s="1"/>
  <c r="Q82" i="22"/>
  <c r="W71" i="26"/>
  <c r="AA17" i="26"/>
  <c r="U11" i="22"/>
  <c r="T87" i="22"/>
  <c r="Z76" i="26"/>
  <c r="Y87" i="22" s="1"/>
  <c r="AA75" i="26"/>
  <c r="U86" i="22"/>
  <c r="AI40" i="24"/>
  <c r="AM40" i="24"/>
  <c r="AK40" i="24"/>
  <c r="S85" i="22"/>
  <c r="Y74" i="26"/>
  <c r="R65" i="22"/>
  <c r="X56" i="26"/>
  <c r="X65" i="22" s="1"/>
  <c r="K84" i="26"/>
  <c r="J92" i="26"/>
  <c r="K92" i="26" s="1"/>
  <c r="Q92" i="26" s="1" a="1"/>
  <c r="Q92" i="26" s="1"/>
  <c r="AI64" i="24"/>
  <c r="AK64" i="24"/>
  <c r="AM64" i="24"/>
  <c r="AJ64" i="24"/>
  <c r="AL64" i="24"/>
  <c r="AM68" i="24"/>
  <c r="AI68" i="24"/>
  <c r="AK68" i="24"/>
  <c r="Q80" i="22"/>
  <c r="W69" i="26"/>
  <c r="R83" i="22"/>
  <c r="X72" i="26"/>
  <c r="X83" i="22" s="1"/>
  <c r="Q34" i="22"/>
  <c r="W34" i="26"/>
  <c r="V17" i="26"/>
  <c r="W11" i="22" s="1"/>
  <c r="P11" i="22"/>
  <c r="Z56" i="26"/>
  <c r="Y65" i="22" s="1"/>
  <c r="T65" i="22"/>
  <c r="AA56" i="26"/>
  <c r="U65" i="22"/>
  <c r="AH50" i="24"/>
  <c r="Y75" i="26"/>
  <c r="S86" i="22"/>
  <c r="X75" i="26"/>
  <c r="X86" i="22" s="1"/>
  <c r="R86" i="22"/>
  <c r="T57" i="26" a="1"/>
  <c r="T57" i="26" s="1"/>
  <c r="T44" i="26" a="1"/>
  <c r="T44" i="26" s="1"/>
  <c r="AG33" i="24"/>
  <c r="AI33" i="24"/>
  <c r="AK33" i="24"/>
  <c r="AM33" i="24"/>
  <c r="AF33" i="24"/>
  <c r="AL33" i="24"/>
  <c r="AI79" i="24"/>
  <c r="AJ79" i="24"/>
  <c r="AK79" i="24"/>
  <c r="AM79" i="24"/>
  <c r="W17" i="26"/>
  <c r="Q11" i="22"/>
  <c r="Z68" i="26"/>
  <c r="Y79" i="22" s="1"/>
  <c r="T79" i="22"/>
  <c r="Q84" i="22"/>
  <c r="W73" i="26"/>
  <c r="W41" i="26"/>
  <c r="Q43" i="22"/>
  <c r="R47" i="26" a="1"/>
  <c r="R47" i="26" s="1"/>
  <c r="Q47" i="26" a="1"/>
  <c r="Q47" i="26" s="1"/>
  <c r="Y47" i="26" s="1"/>
  <c r="N47" i="26" a="1"/>
  <c r="N47" i="26" s="1"/>
  <c r="V47" i="26" s="1"/>
  <c r="W51" i="22" s="1"/>
  <c r="T47" i="26" a="1"/>
  <c r="T47" i="26" s="1"/>
  <c r="AB47" i="26" s="1"/>
  <c r="Z51" i="22" s="1"/>
  <c r="S47" i="26" a="1"/>
  <c r="S47" i="26" s="1"/>
  <c r="P47" i="26" a="1"/>
  <c r="P47" i="26" s="1"/>
  <c r="O47" i="26" a="1"/>
  <c r="O47" i="26" s="1"/>
  <c r="W47" i="26" s="1"/>
  <c r="BD82" i="13"/>
  <c r="S41" i="12"/>
  <c r="X17" i="26"/>
  <c r="X11" i="22" s="1"/>
  <c r="R11" i="22"/>
  <c r="K82" i="26"/>
  <c r="J90" i="26"/>
  <c r="K10" i="23"/>
  <c r="F11" i="22" s="1"/>
  <c r="G10" i="23"/>
  <c r="Q79" i="22"/>
  <c r="W68" i="26"/>
  <c r="Y17" i="26"/>
  <c r="S11" i="22"/>
  <c r="Z74" i="26"/>
  <c r="Y85" i="22" s="1"/>
  <c r="T85" i="22"/>
  <c r="U81" i="22"/>
  <c r="AA70" i="26"/>
  <c r="S84" i="22"/>
  <c r="Y73" i="26"/>
  <c r="X69" i="26"/>
  <c r="X80" i="22" s="1"/>
  <c r="R80" i="22"/>
  <c r="AM18" i="24"/>
  <c r="AL18" i="24"/>
  <c r="AK18" i="24"/>
  <c r="AI18" i="24"/>
  <c r="AI86" i="24"/>
  <c r="AK86" i="24"/>
  <c r="AM86" i="24"/>
  <c r="AG88" i="24"/>
  <c r="AJ88" i="24"/>
  <c r="AI88" i="24"/>
  <c r="AL88" i="24"/>
  <c r="AK88" i="24"/>
  <c r="AM88" i="24"/>
  <c r="AJ97" i="24"/>
  <c r="AM104" i="24"/>
  <c r="AL104" i="24"/>
  <c r="AJ104" i="24"/>
  <c r="AK104" i="24"/>
  <c r="AI104" i="24"/>
  <c r="AM55" i="24"/>
  <c r="AJ55" i="24"/>
  <c r="AI55" i="24"/>
  <c r="AK55" i="24"/>
  <c r="K80" i="26"/>
  <c r="Q80" i="26" s="1" a="1"/>
  <c r="Q80" i="26" s="1"/>
  <c r="J88" i="26"/>
  <c r="K88" i="26" s="1"/>
  <c r="Q18" i="26" a="1"/>
  <c r="Q18" i="26" s="1"/>
  <c r="Q28" i="26" a="1"/>
  <c r="Q28" i="26" s="1"/>
  <c r="AM36" i="24"/>
  <c r="AI36" i="24"/>
  <c r="AL36" i="24"/>
  <c r="AK36" i="24"/>
  <c r="AF104" i="24"/>
  <c r="R44" i="26" a="1"/>
  <c r="R44" i="26" s="1"/>
  <c r="R57" i="26" a="1"/>
  <c r="R57" i="26" s="1"/>
  <c r="AA74" i="26"/>
  <c r="U85" i="22"/>
  <c r="R84" i="22"/>
  <c r="X73" i="26"/>
  <c r="X84" i="22" s="1"/>
  <c r="AI78" i="24"/>
  <c r="AM78" i="24"/>
  <c r="AK78" i="24"/>
  <c r="N85" i="26" a="1"/>
  <c r="N85" i="26" s="1"/>
  <c r="AG55" i="24"/>
  <c r="AF89" i="24"/>
  <c r="AF77" i="24"/>
  <c r="AF65" i="24"/>
  <c r="K81" i="26"/>
  <c r="R81" i="26" s="1" a="1"/>
  <c r="R81" i="26" s="1"/>
  <c r="J89" i="26"/>
  <c r="K89" i="26" s="1"/>
  <c r="P85" i="26" a="1"/>
  <c r="P85" i="26" s="1"/>
  <c r="R96" i="22" s="1"/>
  <c r="S23" i="26" a="1"/>
  <c r="S23" i="26" s="1"/>
  <c r="W75" i="26"/>
  <c r="Q86" i="22"/>
  <c r="O57" i="26" a="1"/>
  <c r="O57" i="26" s="1"/>
  <c r="O44" i="26" a="1"/>
  <c r="O44" i="26" s="1"/>
  <c r="T34" i="22"/>
  <c r="Z34" i="26"/>
  <c r="Y34" i="22" s="1"/>
  <c r="AA71" i="26"/>
  <c r="U82" i="22"/>
  <c r="Y68" i="26"/>
  <c r="S79" i="22"/>
  <c r="R34" i="22"/>
  <c r="X34" i="26"/>
  <c r="X34" i="22" s="1"/>
  <c r="R18" i="26" a="1"/>
  <c r="R18" i="26" s="1"/>
  <c r="R28" i="26" a="1"/>
  <c r="R28" i="26" s="1"/>
  <c r="AL79" i="24"/>
  <c r="AI54" i="24"/>
  <c r="AK54" i="24"/>
  <c r="AL54" i="24"/>
  <c r="AM54" i="24"/>
  <c r="AL86" i="24"/>
  <c r="W46" i="26"/>
  <c r="Q50" i="22"/>
  <c r="U43" i="22"/>
  <c r="AA41" i="26"/>
  <c r="T18" i="26" a="1"/>
  <c r="T18" i="26" s="1"/>
  <c r="T28" i="26" a="1"/>
  <c r="T28" i="26" s="1"/>
  <c r="AB17" i="26"/>
  <c r="Z11" i="22" s="1"/>
  <c r="V11" i="22"/>
  <c r="N37" i="26" a="1"/>
  <c r="N37" i="26" s="1"/>
  <c r="N57" i="26" a="1"/>
  <c r="N57" i="26" s="1"/>
  <c r="N44" i="26" a="1"/>
  <c r="N44" i="26" s="1"/>
  <c r="Z75" i="26"/>
  <c r="Y86" i="22" s="1"/>
  <c r="T86" i="22"/>
  <c r="S80" i="22"/>
  <c r="Y69" i="26"/>
  <c r="Q14" i="26" a="1"/>
  <c r="Q14" i="26" s="1"/>
  <c r="W76" i="26"/>
  <c r="Q87" i="22"/>
  <c r="T80" i="22"/>
  <c r="Z69" i="26"/>
  <c r="Y80" i="22" s="1"/>
  <c r="S81" i="22"/>
  <c r="Y70" i="26"/>
  <c r="AI13" i="24"/>
  <c r="AM13" i="24"/>
  <c r="AK13" i="24"/>
  <c r="L54" i="19"/>
  <c r="AF55" i="24"/>
  <c r="AG89" i="24"/>
  <c r="AG65" i="24"/>
  <c r="AG77" i="24"/>
  <c r="S14" i="26" a="1"/>
  <c r="S14" i="26" s="1"/>
  <c r="Q85" i="26" a="1"/>
  <c r="Q85" i="26" s="1"/>
  <c r="T83" i="26" a="1"/>
  <c r="T83" i="26" s="1"/>
  <c r="Q26" i="26" a="1"/>
  <c r="Q26" i="26" s="1"/>
  <c r="Q65" i="22"/>
  <c r="W56" i="26"/>
  <c r="Z41" i="26"/>
  <c r="Y43" i="22" s="1"/>
  <c r="T43" i="22"/>
  <c r="U83" i="22"/>
  <c r="AA72" i="26"/>
  <c r="D43" i="11"/>
  <c r="E43" i="11" s="1"/>
  <c r="J73" i="18"/>
  <c r="K73" i="18" s="1"/>
  <c r="F31" i="2"/>
  <c r="F36" i="2" s="1"/>
  <c r="Y41" i="26"/>
  <c r="S43" i="22"/>
  <c r="X41" i="26"/>
  <c r="X43" i="22" s="1"/>
  <c r="R43" i="22"/>
  <c r="R37" i="26" a="1"/>
  <c r="R37" i="26" s="1"/>
  <c r="AJ18" i="24"/>
  <c r="Z17" i="26"/>
  <c r="Y11" i="22" s="1"/>
  <c r="T11" i="22"/>
  <c r="AG50" i="24"/>
  <c r="AI50" i="24"/>
  <c r="AK50" i="24"/>
  <c r="AL50" i="24"/>
  <c r="AF50" i="24"/>
  <c r="AM50" i="24"/>
  <c r="J67" i="18"/>
  <c r="E28" i="2"/>
  <c r="D41" i="11"/>
  <c r="K53" i="19"/>
  <c r="AF36" i="24"/>
  <c r="T14" i="26" a="1"/>
  <c r="T14" i="26" s="1"/>
  <c r="AB14" i="26" s="1"/>
  <c r="Z8" i="22" s="1"/>
  <c r="R85" i="26" a="1"/>
  <c r="R85" i="26" s="1"/>
  <c r="R83" i="26" a="1"/>
  <c r="R83" i="26" s="1"/>
  <c r="Z83" i="26" s="1"/>
  <c r="Y94" i="22" s="1"/>
  <c r="S31" i="26" a="1"/>
  <c r="S31" i="26" s="1"/>
  <c r="U29" i="22" s="1"/>
  <c r="S26" i="26" a="1"/>
  <c r="S26" i="26" s="1"/>
  <c r="AM90" i="24"/>
  <c r="AL90" i="24"/>
  <c r="AI90" i="24"/>
  <c r="AG90" i="24"/>
  <c r="AJ90" i="24"/>
  <c r="AK90" i="24"/>
  <c r="AF90" i="24"/>
  <c r="W70" i="26"/>
  <c r="Q81" i="22"/>
  <c r="Z73" i="26"/>
  <c r="Y84" i="22" s="1"/>
  <c r="T84" i="22"/>
  <c r="U87" i="22"/>
  <c r="AA76" i="26"/>
  <c r="Y72" i="26"/>
  <c r="S83" i="22"/>
  <c r="X68" i="26"/>
  <c r="X79" i="22" s="1"/>
  <c r="R79" i="22"/>
  <c r="AJ40" i="24"/>
  <c r="AI39" i="24"/>
  <c r="AM39" i="24"/>
  <c r="AL39" i="24"/>
  <c r="AK39" i="24"/>
  <c r="AL40" i="24"/>
  <c r="AM48" i="24"/>
  <c r="AL48" i="24"/>
  <c r="AK48" i="24"/>
  <c r="AI48" i="24"/>
  <c r="Q37" i="26" a="1"/>
  <c r="Q37" i="26" s="1"/>
  <c r="Q44" i="26" a="1"/>
  <c r="Q44" i="26" s="1"/>
  <c r="Y44" i="26" s="1"/>
  <c r="Q57" i="26" a="1"/>
  <c r="Q57" i="26" s="1"/>
  <c r="Y57" i="26" s="1"/>
  <c r="T82" i="22"/>
  <c r="Z71" i="26"/>
  <c r="Y82" i="22" s="1"/>
  <c r="S13" i="26" a="1"/>
  <c r="S13" i="26" s="1"/>
  <c r="U80" i="22"/>
  <c r="AA69" i="26"/>
  <c r="AG36" i="24"/>
  <c r="N14" i="26" a="1"/>
  <c r="N14" i="26" s="1"/>
  <c r="S85" i="26" a="1"/>
  <c r="S85" i="26" s="1"/>
  <c r="Q23" i="26" a="1"/>
  <c r="Q23" i="26" s="1"/>
  <c r="T31" i="26" a="1"/>
  <c r="T31" i="26" s="1"/>
  <c r="AB31" i="26" s="1"/>
  <c r="Z29" i="22" s="1"/>
  <c r="R26" i="26" a="1"/>
  <c r="R26" i="26" s="1"/>
  <c r="Z26" i="26" s="1"/>
  <c r="Y22" i="22" s="1"/>
  <c r="K19" i="23"/>
  <c r="F22" i="22" s="1"/>
  <c r="G19" i="23"/>
  <c r="W74" i="26"/>
  <c r="Q85" i="22"/>
  <c r="P57" i="26" a="1"/>
  <c r="P57" i="26" s="1"/>
  <c r="P44" i="26" a="1"/>
  <c r="P44" i="26" s="1"/>
  <c r="R46" i="22" s="1"/>
  <c r="Z72" i="26"/>
  <c r="Y83" i="22" s="1"/>
  <c r="T83" i="22"/>
  <c r="T50" i="22"/>
  <c r="Z46" i="26"/>
  <c r="Y50" i="22" s="1"/>
  <c r="U84" i="22"/>
  <c r="AA73" i="26"/>
  <c r="Y56" i="26"/>
  <c r="S65" i="22"/>
  <c r="Y46" i="26"/>
  <c r="S50" i="22"/>
  <c r="X74" i="26"/>
  <c r="X85" i="22" s="1"/>
  <c r="R85" i="22"/>
  <c r="AH89" i="24"/>
  <c r="AH65" i="24"/>
  <c r="AH77" i="24"/>
  <c r="AI56" i="24"/>
  <c r="AM56" i="24"/>
  <c r="AK56" i="24"/>
  <c r="AL56" i="24"/>
  <c r="AJ56" i="24"/>
  <c r="AJ78" i="24"/>
  <c r="AK37" i="24"/>
  <c r="AM37" i="24"/>
  <c r="AI37" i="24"/>
  <c r="T44" i="27"/>
  <c r="S7" i="26" s="1"/>
  <c r="AJ48" i="24"/>
  <c r="AA46" i="26"/>
  <c r="U50" i="22"/>
  <c r="X70" i="26"/>
  <c r="X81" i="22" s="1"/>
  <c r="R81" i="22"/>
  <c r="E41" i="11"/>
  <c r="J106" i="12"/>
  <c r="L106" i="12" s="1"/>
  <c r="AG78" i="24"/>
  <c r="P26" i="26" a="1"/>
  <c r="P26" i="26" s="1"/>
  <c r="R22" i="22" s="1"/>
  <c r="W72" i="26"/>
  <c r="Q83" i="22"/>
  <c r="Z70" i="26"/>
  <c r="Y81" i="22" s="1"/>
  <c r="T81" i="22"/>
  <c r="AA34" i="26"/>
  <c r="U34" i="22"/>
  <c r="AI97" i="24"/>
  <c r="AK97" i="24"/>
  <c r="AM97" i="24"/>
  <c r="Y71" i="26"/>
  <c r="S82" i="22"/>
  <c r="X76" i="26"/>
  <c r="X87" i="22" s="1"/>
  <c r="R87" i="22"/>
  <c r="X46" i="26"/>
  <c r="X50" i="22" s="1"/>
  <c r="R50" i="22"/>
  <c r="AH104" i="24"/>
  <c r="O37" i="26" a="1"/>
  <c r="O37" i="26" s="1"/>
  <c r="AM53" i="24"/>
  <c r="AL53" i="24"/>
  <c r="AI53" i="24"/>
  <c r="AK53" i="24"/>
  <c r="AJ36" i="24"/>
  <c r="AH55" i="24"/>
  <c r="AH37" i="24"/>
  <c r="S44" i="27"/>
  <c r="R7" i="26" s="1"/>
  <c r="R40" i="26" s="1" a="1"/>
  <c r="R40" i="26" s="1"/>
  <c r="AJ86" i="24"/>
  <c r="AK17" i="24"/>
  <c r="AM17" i="24"/>
  <c r="AI17" i="24"/>
  <c r="AI52" i="24"/>
  <c r="AM52" i="24"/>
  <c r="AL52" i="24"/>
  <c r="AJ52" i="24"/>
  <c r="AK52" i="24"/>
  <c r="L99" i="12"/>
  <c r="Y26" i="26"/>
  <c r="S22" i="22"/>
  <c r="AA26" i="26"/>
  <c r="U22" i="22"/>
  <c r="T22" i="22"/>
  <c r="X26" i="26"/>
  <c r="X22" i="22" s="1"/>
  <c r="Q22" i="22"/>
  <c r="W26" i="26"/>
  <c r="AB26" i="26"/>
  <c r="Z22" i="22" s="1"/>
  <c r="V22" i="22"/>
  <c r="P22" i="22"/>
  <c r="V26" i="26"/>
  <c r="W22" i="22" s="1"/>
  <c r="H56" i="23"/>
  <c r="T22" i="26" a="1"/>
  <c r="T22" i="26" s="1"/>
  <c r="S22" i="26" a="1"/>
  <c r="S22" i="26" s="1"/>
  <c r="Q22" i="26" a="1"/>
  <c r="Q22" i="26" s="1"/>
  <c r="R22" i="26" a="1"/>
  <c r="R22" i="26" s="1"/>
  <c r="P22" i="26" a="1"/>
  <c r="P22" i="26" s="1"/>
  <c r="N22" i="26" a="1"/>
  <c r="N22" i="26" s="1"/>
  <c r="O22" i="26" a="1"/>
  <c r="O22" i="26" s="1"/>
  <c r="O61" i="26" a="1"/>
  <c r="O61" i="26" s="1"/>
  <c r="N61" i="26" a="1"/>
  <c r="N61" i="26" s="1"/>
  <c r="R61" i="26" a="1"/>
  <c r="R61" i="26" s="1"/>
  <c r="Q61" i="26" a="1"/>
  <c r="Q61" i="26" s="1"/>
  <c r="T61" i="26" a="1"/>
  <c r="T61" i="26" s="1"/>
  <c r="S61" i="26" a="1"/>
  <c r="S61" i="26" s="1"/>
  <c r="P61" i="26" a="1"/>
  <c r="P61" i="26" s="1"/>
  <c r="Q91" i="26" a="1"/>
  <c r="Q91" i="26" s="1"/>
  <c r="T91" i="26" a="1"/>
  <c r="T91" i="26" s="1"/>
  <c r="S91" i="26" a="1"/>
  <c r="S91" i="26" s="1"/>
  <c r="R91" i="26" a="1"/>
  <c r="R91" i="26" s="1"/>
  <c r="O91" i="26" a="1"/>
  <c r="O91" i="26" s="1"/>
  <c r="N91" i="26" a="1"/>
  <c r="N91" i="26" s="1"/>
  <c r="P91" i="26" a="1"/>
  <c r="P91" i="26" s="1"/>
  <c r="Q63" i="26" a="1"/>
  <c r="Q63" i="26" s="1"/>
  <c r="Y63" i="26" s="1"/>
  <c r="T63" i="26" a="1"/>
  <c r="T63" i="26" s="1"/>
  <c r="AB63" i="26" s="1"/>
  <c r="Z74" i="22" s="1"/>
  <c r="S63" i="26" a="1"/>
  <c r="S63" i="26" s="1"/>
  <c r="U74" i="22" s="1"/>
  <c r="R63" i="26" a="1"/>
  <c r="R63" i="26" s="1"/>
  <c r="P63" i="26" a="1"/>
  <c r="P63" i="26" s="1"/>
  <c r="O63" i="26" a="1"/>
  <c r="O63" i="26" s="1"/>
  <c r="Q74" i="22" s="1"/>
  <c r="N63" i="26" a="1"/>
  <c r="N63" i="26" s="1"/>
  <c r="P74" i="22" s="1"/>
  <c r="Q53" i="26" a="1"/>
  <c r="Q53" i="26" s="1"/>
  <c r="P53" i="26" a="1"/>
  <c r="P53" i="26" s="1"/>
  <c r="O53" i="26" a="1"/>
  <c r="O53" i="26" s="1"/>
  <c r="N53" i="26" a="1"/>
  <c r="N53" i="26" s="1"/>
  <c r="T53" i="26" a="1"/>
  <c r="T53" i="26" s="1"/>
  <c r="S53" i="26" a="1"/>
  <c r="S53" i="26" s="1"/>
  <c r="R53" i="26" a="1"/>
  <c r="R53" i="26" s="1"/>
  <c r="P64" i="26" a="1"/>
  <c r="P64" i="26" s="1"/>
  <c r="X64" i="26" s="1"/>
  <c r="X75" i="22" s="1"/>
  <c r="O64" i="26" a="1"/>
  <c r="O64" i="26" s="1"/>
  <c r="W64" i="26" s="1"/>
  <c r="N64" i="26" a="1"/>
  <c r="N64" i="26" s="1"/>
  <c r="S64" i="26" a="1"/>
  <c r="S64" i="26" s="1"/>
  <c r="Q64" i="26" a="1"/>
  <c r="Q64" i="26" s="1"/>
  <c r="Y64" i="26" s="1"/>
  <c r="T64" i="26" a="1"/>
  <c r="T64" i="26" s="1"/>
  <c r="AB64" i="26" s="1"/>
  <c r="Z75" i="22" s="1"/>
  <c r="R64" i="26" a="1"/>
  <c r="R64" i="26" s="1"/>
  <c r="Z64" i="26" s="1"/>
  <c r="Y75" i="22" s="1"/>
  <c r="O19" i="26" a="1"/>
  <c r="O19" i="26" s="1"/>
  <c r="T19" i="26" a="1"/>
  <c r="T19" i="26" s="1"/>
  <c r="N19" i="26" a="1"/>
  <c r="N19" i="26" s="1"/>
  <c r="P19" i="26" a="1"/>
  <c r="P19" i="26" s="1"/>
  <c r="R19" i="26" a="1"/>
  <c r="R19" i="26" s="1"/>
  <c r="Q19" i="26" a="1"/>
  <c r="Q19" i="26" s="1"/>
  <c r="S19" i="26" a="1"/>
  <c r="S19" i="26" s="1"/>
  <c r="P30" i="26" a="1"/>
  <c r="P30" i="26" s="1"/>
  <c r="O30" i="26" a="1"/>
  <c r="O30" i="26" s="1"/>
  <c r="N30" i="26" a="1"/>
  <c r="N30" i="26" s="1"/>
  <c r="T30" i="26" a="1"/>
  <c r="T30" i="26" s="1"/>
  <c r="S30" i="26" a="1"/>
  <c r="S30" i="26" s="1"/>
  <c r="R30" i="26" a="1"/>
  <c r="R30" i="26" s="1"/>
  <c r="Q30" i="26" a="1"/>
  <c r="Q30" i="26" s="1"/>
  <c r="R43" i="26" a="1"/>
  <c r="R43" i="26" s="1"/>
  <c r="Q43" i="26" a="1"/>
  <c r="Q43" i="26" s="1"/>
  <c r="T43" i="26" a="1"/>
  <c r="T43" i="26" s="1"/>
  <c r="S43" i="26" a="1"/>
  <c r="S43" i="26" s="1"/>
  <c r="N43" i="26" a="1"/>
  <c r="N43" i="26" s="1"/>
  <c r="P43" i="26" a="1"/>
  <c r="P43" i="26" s="1"/>
  <c r="O43" i="26" a="1"/>
  <c r="O43" i="26" s="1"/>
  <c r="R66" i="26" a="1"/>
  <c r="R66" i="26" s="1"/>
  <c r="T66" i="26" a="1"/>
  <c r="T66" i="26" s="1"/>
  <c r="S66" i="26" a="1"/>
  <c r="S66" i="26" s="1"/>
  <c r="Q66" i="26" a="1"/>
  <c r="Q66" i="26" s="1"/>
  <c r="P66" i="26" a="1"/>
  <c r="P66" i="26" s="1"/>
  <c r="O66" i="26" a="1"/>
  <c r="O66" i="26" s="1"/>
  <c r="N66" i="26" a="1"/>
  <c r="N66" i="26" s="1"/>
  <c r="T40" i="26" a="1"/>
  <c r="T40" i="26" s="1"/>
  <c r="S40" i="26" a="1"/>
  <c r="S40" i="26" s="1"/>
  <c r="Q40" i="26" a="1"/>
  <c r="Q40" i="26" s="1"/>
  <c r="P40" i="26" a="1"/>
  <c r="P40" i="26" s="1"/>
  <c r="N40" i="26" a="1"/>
  <c r="N40" i="26" s="1"/>
  <c r="O40" i="26" a="1"/>
  <c r="O40" i="26" s="1"/>
  <c r="S42" i="26" a="1"/>
  <c r="S42" i="26" s="1"/>
  <c r="R42" i="26" a="1"/>
  <c r="R42" i="26" s="1"/>
  <c r="Q42" i="26" a="1"/>
  <c r="Q42" i="26" s="1"/>
  <c r="N42" i="26" a="1"/>
  <c r="N42" i="26" s="1"/>
  <c r="P42" i="26" a="1"/>
  <c r="P42" i="26" s="1"/>
  <c r="O42" i="26" a="1"/>
  <c r="O42" i="26" s="1"/>
  <c r="T42" i="26" a="1"/>
  <c r="T42" i="26" s="1"/>
  <c r="T82" i="26" a="1"/>
  <c r="T82" i="26" s="1"/>
  <c r="S82" i="26" a="1"/>
  <c r="S82" i="26" s="1"/>
  <c r="R82" i="26" a="1"/>
  <c r="R82" i="26" s="1"/>
  <c r="N82" i="26" a="1"/>
  <c r="N82" i="26" s="1"/>
  <c r="Q82" i="26" a="1"/>
  <c r="Q82" i="26" s="1"/>
  <c r="P82" i="26" a="1"/>
  <c r="P82" i="26" s="1"/>
  <c r="O82" i="26" a="1"/>
  <c r="O82" i="26" s="1"/>
  <c r="P81" i="26" a="1"/>
  <c r="P81" i="26" s="1"/>
  <c r="N81" i="26" a="1"/>
  <c r="N81" i="26" s="1"/>
  <c r="S81" i="26" a="1"/>
  <c r="S81" i="26" s="1"/>
  <c r="N55" i="26" a="1"/>
  <c r="N55" i="26" s="1"/>
  <c r="T55" i="26" a="1"/>
  <c r="T55" i="26" s="1"/>
  <c r="S55" i="26" a="1"/>
  <c r="S55" i="26" s="1"/>
  <c r="R55" i="26" a="1"/>
  <c r="R55" i="26" s="1"/>
  <c r="Q55" i="26" a="1"/>
  <c r="Q55" i="26" s="1"/>
  <c r="P55" i="26" a="1"/>
  <c r="P55" i="26" s="1"/>
  <c r="O55" i="26" a="1"/>
  <c r="O55" i="26" s="1"/>
  <c r="N38" i="26" a="1"/>
  <c r="N38" i="26" s="1"/>
  <c r="T38" i="26" a="1"/>
  <c r="T38" i="26" s="1"/>
  <c r="P38" i="26" a="1"/>
  <c r="P38" i="26" s="1"/>
  <c r="X38" i="26" s="1"/>
  <c r="X40" i="22" s="1"/>
  <c r="O38" i="26" a="1"/>
  <c r="O38" i="26" s="1"/>
  <c r="R38" i="26" a="1"/>
  <c r="R38" i="26" s="1"/>
  <c r="S38" i="26" a="1"/>
  <c r="S38" i="26" s="1"/>
  <c r="Q38" i="26" a="1"/>
  <c r="Q38" i="26" s="1"/>
  <c r="Y38" i="26" s="1"/>
  <c r="T93" i="26" a="1"/>
  <c r="T93" i="26" s="1"/>
  <c r="AB93" i="26" s="1"/>
  <c r="Z104" i="22" s="1"/>
  <c r="S93" i="26" a="1"/>
  <c r="S93" i="26" s="1"/>
  <c r="U104" i="22" s="1"/>
  <c r="R93" i="26" a="1"/>
  <c r="R93" i="26" s="1"/>
  <c r="Z93" i="26" s="1"/>
  <c r="Y104" i="22" s="1"/>
  <c r="Q93" i="26" a="1"/>
  <c r="Q93" i="26" s="1"/>
  <c r="O93" i="26" a="1"/>
  <c r="O93" i="26" s="1"/>
  <c r="N93" i="26" a="1"/>
  <c r="N93" i="26" s="1"/>
  <c r="V93" i="26" s="1"/>
  <c r="W104" i="22" s="1"/>
  <c r="P93" i="26" a="1"/>
  <c r="P93" i="26" s="1"/>
  <c r="O20" i="26" a="1"/>
  <c r="O20" i="26" s="1"/>
  <c r="N20" i="26" a="1"/>
  <c r="N20" i="26" s="1"/>
  <c r="S20" i="26" a="1"/>
  <c r="S20" i="26" s="1"/>
  <c r="R20" i="26" a="1"/>
  <c r="R20" i="26" s="1"/>
  <c r="Q20" i="26" a="1"/>
  <c r="Q20" i="26" s="1"/>
  <c r="P20" i="26" a="1"/>
  <c r="P20" i="26" s="1"/>
  <c r="T20" i="26" a="1"/>
  <c r="T20" i="26" s="1"/>
  <c r="O92" i="26" a="1"/>
  <c r="O92" i="26" s="1"/>
  <c r="N92" i="26" a="1"/>
  <c r="N92" i="26" s="1"/>
  <c r="R92" i="26" a="1"/>
  <c r="R92" i="26" s="1"/>
  <c r="N15" i="26" a="1"/>
  <c r="N15" i="26" s="1"/>
  <c r="T15" i="26" a="1"/>
  <c r="T15" i="26" s="1"/>
  <c r="S15" i="26" a="1"/>
  <c r="S15" i="26" s="1"/>
  <c r="R15" i="26" a="1"/>
  <c r="R15" i="26" s="1"/>
  <c r="Q15" i="26" a="1"/>
  <c r="Q15" i="26" s="1"/>
  <c r="P15" i="26" a="1"/>
  <c r="P15" i="26" s="1"/>
  <c r="O15" i="26" a="1"/>
  <c r="O15" i="26" s="1"/>
  <c r="R60" i="26" a="1"/>
  <c r="R60" i="26" s="1"/>
  <c r="Q60" i="26" a="1"/>
  <c r="Q60" i="26" s="1"/>
  <c r="T60" i="26" a="1"/>
  <c r="T60" i="26" s="1"/>
  <c r="S60" i="26" a="1"/>
  <c r="S60" i="26" s="1"/>
  <c r="P60" i="26" a="1"/>
  <c r="P60" i="26" s="1"/>
  <c r="O60" i="26" a="1"/>
  <c r="O60" i="26" s="1"/>
  <c r="N60" i="26" a="1"/>
  <c r="N60" i="26" s="1"/>
  <c r="R80" i="26" a="1"/>
  <c r="R80" i="26" s="1"/>
  <c r="P80" i="26" a="1"/>
  <c r="P80" i="26" s="1"/>
  <c r="Z63" i="26"/>
  <c r="Y74" i="22" s="1"/>
  <c r="V31" i="26"/>
  <c r="W29" i="22" s="1"/>
  <c r="V29" i="26"/>
  <c r="W25" i="22" s="1"/>
  <c r="Y29" i="26"/>
  <c r="Z29" i="26"/>
  <c r="Y25" i="22" s="1"/>
  <c r="AA29" i="26"/>
  <c r="Z31" i="26"/>
  <c r="Y29" i="22" s="1"/>
  <c r="AA31" i="26"/>
  <c r="V29" i="22"/>
  <c r="Y31" i="26"/>
  <c r="W29" i="26"/>
  <c r="X29" i="26"/>
  <c r="X25" i="22" s="1"/>
  <c r="S29" i="22"/>
  <c r="AA65" i="26"/>
  <c r="AA83" i="26"/>
  <c r="T33" i="22"/>
  <c r="V83" i="26"/>
  <c r="W94" i="22" s="1"/>
  <c r="R76" i="22"/>
  <c r="X83" i="26"/>
  <c r="X94" i="22" s="1"/>
  <c r="W83" i="26"/>
  <c r="AB83" i="26"/>
  <c r="Z94" i="22" s="1"/>
  <c r="S33" i="22"/>
  <c r="U25" i="22"/>
  <c r="V33" i="22"/>
  <c r="R25" i="22"/>
  <c r="W65" i="26"/>
  <c r="T76" i="22"/>
  <c r="T29" i="22"/>
  <c r="P29" i="22"/>
  <c r="S25" i="22"/>
  <c r="J48" i="26"/>
  <c r="K35" i="26"/>
  <c r="J77" i="26"/>
  <c r="K77" i="26" s="1"/>
  <c r="K59" i="26"/>
  <c r="Q33" i="22"/>
  <c r="W33" i="26"/>
  <c r="P33" i="22"/>
  <c r="X33" i="26"/>
  <c r="X33" i="22" s="1"/>
  <c r="S76" i="22"/>
  <c r="V64" i="26"/>
  <c r="W75" i="22" s="1"/>
  <c r="U33" i="22"/>
  <c r="P96" i="22"/>
  <c r="R29" i="22"/>
  <c r="X31" i="26"/>
  <c r="X29" i="22" s="1"/>
  <c r="Q25" i="22"/>
  <c r="Q96" i="22"/>
  <c r="T25" i="22"/>
  <c r="V65" i="26"/>
  <c r="W76" i="22" s="1"/>
  <c r="P25" i="22"/>
  <c r="V76" i="22"/>
  <c r="Y85" i="26"/>
  <c r="V25" i="22"/>
  <c r="AB29" i="26"/>
  <c r="Z25" i="22" s="1"/>
  <c r="Z85" i="26"/>
  <c r="Y96" i="22" s="1"/>
  <c r="K67" i="26"/>
  <c r="U96" i="22"/>
  <c r="AA32" i="26"/>
  <c r="U30" i="22"/>
  <c r="AB37" i="26"/>
  <c r="Z37" i="22" s="1"/>
  <c r="V37" i="22"/>
  <c r="X49" i="26"/>
  <c r="X53" i="22" s="1"/>
  <c r="R53" i="22"/>
  <c r="Y39" i="26"/>
  <c r="S41" i="22"/>
  <c r="AA52" i="26"/>
  <c r="U61" i="22"/>
  <c r="Z13" i="26"/>
  <c r="Y7" i="22" s="1"/>
  <c r="T7" i="22"/>
  <c r="X32" i="26"/>
  <c r="X30" i="22" s="1"/>
  <c r="R30" i="22"/>
  <c r="Z37" i="26"/>
  <c r="Y37" i="22" s="1"/>
  <c r="T37" i="22"/>
  <c r="AA54" i="26"/>
  <c r="U63" i="22"/>
  <c r="S53" i="22"/>
  <c r="Y49" i="26"/>
  <c r="Z62" i="26"/>
  <c r="Y73" i="22" s="1"/>
  <c r="T73" i="22"/>
  <c r="P36" i="22"/>
  <c r="V36" i="26"/>
  <c r="W36" i="22" s="1"/>
  <c r="AB39" i="26"/>
  <c r="Z41" i="22" s="1"/>
  <c r="V41" i="22"/>
  <c r="Z52" i="26"/>
  <c r="Y61" i="22" s="1"/>
  <c r="T61" i="22"/>
  <c r="AA13" i="26"/>
  <c r="U7" i="22"/>
  <c r="S30" i="22"/>
  <c r="Y32" i="26"/>
  <c r="AA37" i="26"/>
  <c r="U37" i="22"/>
  <c r="T53" i="22"/>
  <c r="Z49" i="26"/>
  <c r="Y53" i="22" s="1"/>
  <c r="W36" i="26"/>
  <c r="Q36" i="22"/>
  <c r="V7" i="22"/>
  <c r="AB13" i="26"/>
  <c r="Z7" i="22" s="1"/>
  <c r="V32" i="26"/>
  <c r="W30" i="22" s="1"/>
  <c r="P30" i="22"/>
  <c r="X37" i="26"/>
  <c r="X37" i="22" s="1"/>
  <c r="R37" i="22"/>
  <c r="AA23" i="26"/>
  <c r="U19" i="22"/>
  <c r="P8" i="22"/>
  <c r="V14" i="26"/>
  <c r="W8" i="22" s="1"/>
  <c r="AA36" i="26"/>
  <c r="U36" i="22"/>
  <c r="W32" i="26"/>
  <c r="Q30" i="22"/>
  <c r="S46" i="22"/>
  <c r="AB23" i="26"/>
  <c r="Z19" i="22" s="1"/>
  <c r="V19" i="22"/>
  <c r="AA14" i="26"/>
  <c r="U8" i="22"/>
  <c r="X13" i="26"/>
  <c r="X7" i="22" s="1"/>
  <c r="R7" i="22"/>
  <c r="Z44" i="26"/>
  <c r="Y46" i="22" s="1"/>
  <c r="T46" i="22"/>
  <c r="T19" i="22"/>
  <c r="Z23" i="26"/>
  <c r="Y19" i="22" s="1"/>
  <c r="V62" i="26"/>
  <c r="W73" i="22" s="1"/>
  <c r="P73" i="22"/>
  <c r="Z36" i="26"/>
  <c r="Y36" i="22" s="1"/>
  <c r="T36" i="22"/>
  <c r="W62" i="26"/>
  <c r="Q73" i="22"/>
  <c r="X54" i="26"/>
  <c r="X63" i="22" s="1"/>
  <c r="R63" i="22"/>
  <c r="V49" i="26"/>
  <c r="W53" i="22" s="1"/>
  <c r="P53" i="22"/>
  <c r="X62" i="26"/>
  <c r="X73" i="22" s="1"/>
  <c r="R73" i="22"/>
  <c r="V39" i="26"/>
  <c r="W41" i="22" s="1"/>
  <c r="P41" i="22"/>
  <c r="Y52" i="26"/>
  <c r="S61" i="22"/>
  <c r="AA47" i="26"/>
  <c r="U51" i="22"/>
  <c r="X57" i="26"/>
  <c r="X66" i="22" s="1"/>
  <c r="R66" i="22"/>
  <c r="W44" i="26"/>
  <c r="Q46" i="22"/>
  <c r="Y54" i="26"/>
  <c r="S63" i="22"/>
  <c r="Y62" i="26"/>
  <c r="S73" i="22"/>
  <c r="W39" i="26"/>
  <c r="Q41" i="22"/>
  <c r="W52" i="26"/>
  <c r="Q61" i="22"/>
  <c r="Q66" i="22"/>
  <c r="W57" i="26"/>
  <c r="Y37" i="26"/>
  <c r="S37" i="22"/>
  <c r="Y83" i="26"/>
  <c r="S94" i="22"/>
  <c r="W54" i="26"/>
  <c r="Q63" i="22"/>
  <c r="X39" i="26"/>
  <c r="X41" i="22" s="1"/>
  <c r="R41" i="22"/>
  <c r="X47" i="26"/>
  <c r="X51" i="22" s="1"/>
  <c r="R51" i="22"/>
  <c r="T30" i="22"/>
  <c r="Z32" i="26"/>
  <c r="Y30" i="22" s="1"/>
  <c r="Y14" i="26"/>
  <c r="S8" i="22"/>
  <c r="R36" i="22"/>
  <c r="X36" i="26"/>
  <c r="X36" i="22" s="1"/>
  <c r="X44" i="26"/>
  <c r="X46" i="22" s="1"/>
  <c r="AA49" i="26"/>
  <c r="U53" i="22"/>
  <c r="AB85" i="26"/>
  <c r="Z96" i="22" s="1"/>
  <c r="V96" i="22"/>
  <c r="V52" i="26"/>
  <c r="W61" i="22" s="1"/>
  <c r="P61" i="22"/>
  <c r="AB44" i="26"/>
  <c r="Z46" i="22" s="1"/>
  <c r="V46" i="22"/>
  <c r="AB62" i="26"/>
  <c r="Z73" i="22" s="1"/>
  <c r="V73" i="22"/>
  <c r="Y13" i="26"/>
  <c r="S7" i="22"/>
  <c r="Z54" i="26"/>
  <c r="Y63" i="22" s="1"/>
  <c r="T63" i="22"/>
  <c r="AA62" i="26"/>
  <c r="U73" i="22"/>
  <c r="Z57" i="26"/>
  <c r="Y66" i="22" s="1"/>
  <c r="T66" i="22"/>
  <c r="V23" i="26"/>
  <c r="W19" i="22" s="1"/>
  <c r="P19" i="22"/>
  <c r="AA57" i="26"/>
  <c r="U66" i="22"/>
  <c r="V54" i="26"/>
  <c r="W63" i="22" s="1"/>
  <c r="P63" i="22"/>
  <c r="AA39" i="26"/>
  <c r="U41" i="22"/>
  <c r="S51" i="22"/>
  <c r="AB57" i="26"/>
  <c r="Z66" i="22" s="1"/>
  <c r="V66" i="22"/>
  <c r="V37" i="26"/>
  <c r="W37" i="22" s="1"/>
  <c r="P37" i="22"/>
  <c r="R19" i="22"/>
  <c r="X23" i="26"/>
  <c r="X19" i="22" s="1"/>
  <c r="AB49" i="26"/>
  <c r="Z53" i="22" s="1"/>
  <c r="V53" i="22"/>
  <c r="Z39" i="26"/>
  <c r="Y41" i="22" s="1"/>
  <c r="T41" i="22"/>
  <c r="Z47" i="26"/>
  <c r="Y51" i="22" s="1"/>
  <c r="T51" i="22"/>
  <c r="W37" i="26"/>
  <c r="Q37" i="22"/>
  <c r="S19" i="22"/>
  <c r="Y23" i="26"/>
  <c r="Z14" i="26"/>
  <c r="Y8" i="22" s="1"/>
  <c r="T8" i="22"/>
  <c r="Y36" i="26"/>
  <c r="S36" i="22"/>
  <c r="P7" i="22"/>
  <c r="V13" i="26"/>
  <c r="W7" i="22" s="1"/>
  <c r="U46" i="22"/>
  <c r="AA44" i="26"/>
  <c r="X52" i="26"/>
  <c r="X61" i="22" s="1"/>
  <c r="R61" i="22"/>
  <c r="P66" i="22"/>
  <c r="V57" i="26"/>
  <c r="W66" i="22" s="1"/>
  <c r="V44" i="26"/>
  <c r="W46" i="22" s="1"/>
  <c r="P46" i="22"/>
  <c r="W49" i="26"/>
  <c r="Q53" i="22"/>
  <c r="AB52" i="26"/>
  <c r="Z61" i="22" s="1"/>
  <c r="V61" i="22"/>
  <c r="X14" i="26"/>
  <c r="X8" i="22" s="1"/>
  <c r="R8" i="22"/>
  <c r="AB54" i="26"/>
  <c r="Z63" i="22" s="1"/>
  <c r="V63" i="22"/>
  <c r="V30" i="22"/>
  <c r="AB32" i="26"/>
  <c r="Z30" i="22" s="1"/>
  <c r="AB36" i="26"/>
  <c r="Z36" i="22" s="1"/>
  <c r="V36" i="22"/>
  <c r="R56" i="22"/>
  <c r="R57" i="22"/>
  <c r="J78" i="26"/>
  <c r="J79" i="26"/>
  <c r="J24" i="26"/>
  <c r="K24" i="26" s="1"/>
  <c r="AF12" i="24"/>
  <c r="AG12" i="24"/>
  <c r="AF17" i="24"/>
  <c r="AG17" i="24"/>
  <c r="AF11" i="24"/>
  <c r="AG11" i="24"/>
  <c r="AG14" i="24"/>
  <c r="AF14" i="24"/>
  <c r="AG13" i="24"/>
  <c r="AF13" i="24"/>
  <c r="AF18" i="24"/>
  <c r="AG18" i="24"/>
  <c r="G70" i="23"/>
  <c r="L70" i="23" s="1"/>
  <c r="G88" i="22" s="1"/>
  <c r="M12" i="23"/>
  <c r="H13" i="22" s="1"/>
  <c r="L12" i="23"/>
  <c r="G13" i="22" s="1"/>
  <c r="E70" i="23"/>
  <c r="J70" i="23" s="1"/>
  <c r="L48" i="23"/>
  <c r="G64" i="22" s="1"/>
  <c r="F75" i="23"/>
  <c r="E75" i="23" s="1"/>
  <c r="J75" i="23" s="1"/>
  <c r="K41" i="23"/>
  <c r="F52" i="22" s="1"/>
  <c r="H35" i="23"/>
  <c r="E41" i="23"/>
  <c r="J41" i="23" s="1"/>
  <c r="F78" i="23"/>
  <c r="K78" i="23" s="1"/>
  <c r="F96" i="22" s="1"/>
  <c r="H41" i="23"/>
  <c r="M41" i="23" s="1"/>
  <c r="H52" i="22" s="1"/>
  <c r="L41" i="23"/>
  <c r="G52" i="22" s="1"/>
  <c r="K64" i="23"/>
  <c r="F82" i="22" s="1"/>
  <c r="E64" i="23"/>
  <c r="J64" i="23" s="1"/>
  <c r="L25" i="23"/>
  <c r="G30" i="22" s="1"/>
  <c r="H25" i="23"/>
  <c r="H46" i="23"/>
  <c r="E82" i="23"/>
  <c r="J82" i="23" s="1"/>
  <c r="L50" i="23"/>
  <c r="G66" i="22" s="1"/>
  <c r="G64" i="23"/>
  <c r="L64" i="23" s="1"/>
  <c r="G82" i="22" s="1"/>
  <c r="G82" i="23"/>
  <c r="K84" i="23"/>
  <c r="F102" i="22" s="1"/>
  <c r="E84" i="23"/>
  <c r="J84" i="23" s="1"/>
  <c r="G84" i="23"/>
  <c r="G66" i="23"/>
  <c r="K66" i="23"/>
  <c r="F84" i="22" s="1"/>
  <c r="E66" i="23"/>
  <c r="J66" i="23" s="1"/>
  <c r="K67" i="23"/>
  <c r="F85" i="22" s="1"/>
  <c r="E67" i="23"/>
  <c r="J67" i="23" s="1"/>
  <c r="G67" i="23"/>
  <c r="K68" i="23"/>
  <c r="F86" i="22" s="1"/>
  <c r="G68" i="23"/>
  <c r="E68" i="23"/>
  <c r="J68" i="23" s="1"/>
  <c r="K62" i="23"/>
  <c r="F80" i="22" s="1"/>
  <c r="E62" i="23"/>
  <c r="J62" i="23" s="1"/>
  <c r="G62" i="23"/>
  <c r="G81" i="23"/>
  <c r="K81" i="23"/>
  <c r="F99" i="22" s="1"/>
  <c r="E81" i="23"/>
  <c r="J81" i="23" s="1"/>
  <c r="K65" i="23"/>
  <c r="F83" i="22" s="1"/>
  <c r="E65" i="23"/>
  <c r="J65" i="23" s="1"/>
  <c r="G65" i="23"/>
  <c r="K79" i="23"/>
  <c r="F97" i="22" s="1"/>
  <c r="G79" i="23"/>
  <c r="E79" i="23"/>
  <c r="J79" i="23" s="1"/>
  <c r="E42" i="23"/>
  <c r="J42" i="23" s="1"/>
  <c r="G42" i="23"/>
  <c r="K42" i="23"/>
  <c r="F53" i="22" s="1"/>
  <c r="K85" i="23"/>
  <c r="F103" i="22" s="1"/>
  <c r="E85" i="23"/>
  <c r="J85" i="23" s="1"/>
  <c r="G85" i="23"/>
  <c r="K40" i="23"/>
  <c r="F51" i="22" s="1"/>
  <c r="G40" i="23"/>
  <c r="E40" i="23"/>
  <c r="J40" i="23" s="1"/>
  <c r="K83" i="23"/>
  <c r="F101" i="22" s="1"/>
  <c r="E83" i="23"/>
  <c r="J83" i="23" s="1"/>
  <c r="G83" i="23"/>
  <c r="L33" i="23"/>
  <c r="G42" i="22" s="1"/>
  <c r="H33" i="23"/>
  <c r="I48" i="23"/>
  <c r="N48" i="23" s="1"/>
  <c r="I64" i="22" s="1"/>
  <c r="M48" i="23"/>
  <c r="H64" i="22" s="1"/>
  <c r="E38" i="23"/>
  <c r="J38" i="23" s="1"/>
  <c r="G38" i="23"/>
  <c r="K38" i="23"/>
  <c r="F49" i="22" s="1"/>
  <c r="K39" i="23"/>
  <c r="F50" i="22" s="1"/>
  <c r="G39" i="23"/>
  <c r="E39" i="23"/>
  <c r="J39" i="23" s="1"/>
  <c r="E28" i="23"/>
  <c r="J28" i="23" s="1"/>
  <c r="K28" i="23"/>
  <c r="F35" i="22" s="1"/>
  <c r="G28" i="23"/>
  <c r="L22" i="23"/>
  <c r="G25" i="22" s="1"/>
  <c r="H22" i="23"/>
  <c r="K86" i="23"/>
  <c r="F104" i="22" s="1"/>
  <c r="E86" i="23"/>
  <c r="J86" i="23" s="1"/>
  <c r="G86" i="23"/>
  <c r="K72" i="23"/>
  <c r="F90" i="22" s="1"/>
  <c r="G72" i="23"/>
  <c r="E72" i="23"/>
  <c r="F73" i="23"/>
  <c r="K73" i="23" s="1"/>
  <c r="F91" i="22" s="1"/>
  <c r="F76" i="23"/>
  <c r="E76" i="23" s="1"/>
  <c r="J76" i="23" s="1"/>
  <c r="G69" i="23"/>
  <c r="K69" i="23"/>
  <c r="F87" i="22" s="1"/>
  <c r="E69" i="23"/>
  <c r="J69" i="23" s="1"/>
  <c r="K80" i="23"/>
  <c r="F98" i="22" s="1"/>
  <c r="G80" i="23"/>
  <c r="E80" i="23"/>
  <c r="J80" i="23" s="1"/>
  <c r="H37" i="23"/>
  <c r="L37" i="23"/>
  <c r="G46" i="22" s="1"/>
  <c r="K71" i="23"/>
  <c r="F89" i="22" s="1"/>
  <c r="E71" i="23"/>
  <c r="J71" i="23" s="1"/>
  <c r="G71" i="23"/>
  <c r="F74" i="23"/>
  <c r="G74" i="23" s="1"/>
  <c r="E30" i="23"/>
  <c r="J30" i="23" s="1"/>
  <c r="G30" i="23"/>
  <c r="K30" i="23"/>
  <c r="F37" i="22" s="1"/>
  <c r="K63" i="23"/>
  <c r="F81" i="22" s="1"/>
  <c r="G63" i="23"/>
  <c r="E63" i="23"/>
  <c r="J63" i="23" s="1"/>
  <c r="G8" i="23"/>
  <c r="H8" i="23" s="1"/>
  <c r="H6" i="23"/>
  <c r="M6" i="23" s="1"/>
  <c r="H7" i="22" s="1"/>
  <c r="E77" i="23"/>
  <c r="J77" i="23" s="1"/>
  <c r="K77" i="23"/>
  <c r="F95" i="22" s="1"/>
  <c r="G77" i="23"/>
  <c r="L29" i="23"/>
  <c r="G36" i="22" s="1"/>
  <c r="M50" i="23"/>
  <c r="H66" i="22" s="1"/>
  <c r="I50" i="23"/>
  <c r="N50" i="23" s="1"/>
  <c r="I66" i="22" s="1"/>
  <c r="L53" i="23"/>
  <c r="G71" i="22" s="1"/>
  <c r="K36" i="23"/>
  <c r="F45" i="22" s="1"/>
  <c r="G36" i="23"/>
  <c r="H23" i="23"/>
  <c r="L23" i="23"/>
  <c r="G26" i="22" s="1"/>
  <c r="I29" i="23"/>
  <c r="N29" i="23" s="1"/>
  <c r="I36" i="22" s="1"/>
  <c r="M29" i="23"/>
  <c r="H36" i="22" s="1"/>
  <c r="L13" i="23"/>
  <c r="G14" i="22" s="1"/>
  <c r="H13" i="23"/>
  <c r="H59" i="23"/>
  <c r="I59" i="23" s="1"/>
  <c r="N59" i="23" s="1"/>
  <c r="I77" i="22" s="1"/>
  <c r="H16" i="23"/>
  <c r="I16" i="23" s="1"/>
  <c r="N16" i="23" s="1"/>
  <c r="I19" i="22" s="1"/>
  <c r="H7" i="23"/>
  <c r="M7" i="23" s="1"/>
  <c r="H8" i="22" s="1"/>
  <c r="L60" i="23"/>
  <c r="G78" i="22" s="1"/>
  <c r="H58" i="23"/>
  <c r="L58" i="23"/>
  <c r="G76" i="22" s="1"/>
  <c r="H54" i="23"/>
  <c r="M54" i="23" s="1"/>
  <c r="H72" i="22" s="1"/>
  <c r="H47" i="23"/>
  <c r="L47" i="23"/>
  <c r="G63" i="22" s="1"/>
  <c r="H57" i="23"/>
  <c r="I57" i="23" s="1"/>
  <c r="N57" i="23" s="1"/>
  <c r="I75" i="22" s="1"/>
  <c r="L45" i="23"/>
  <c r="G61" i="22" s="1"/>
  <c r="H45" i="23"/>
  <c r="H55" i="23"/>
  <c r="L55" i="23"/>
  <c r="G73" i="22" s="1"/>
  <c r="H52" i="23"/>
  <c r="L52" i="23"/>
  <c r="G70" i="22" s="1"/>
  <c r="I60" i="23"/>
  <c r="N60" i="23" s="1"/>
  <c r="I78" i="22" s="1"/>
  <c r="M60" i="23"/>
  <c r="H78" i="22" s="1"/>
  <c r="M53" i="23"/>
  <c r="H71" i="22" s="1"/>
  <c r="I53" i="23"/>
  <c r="N53" i="23" s="1"/>
  <c r="I71" i="22" s="1"/>
  <c r="M56" i="23"/>
  <c r="H74" i="22" s="1"/>
  <c r="I56" i="23"/>
  <c r="N56" i="23" s="1"/>
  <c r="I74" i="22" s="1"/>
  <c r="H26" i="23"/>
  <c r="L26" i="23"/>
  <c r="G33" i="22" s="1"/>
  <c r="H9" i="23"/>
  <c r="L9" i="23"/>
  <c r="G10" i="22" s="1"/>
  <c r="H31" i="23"/>
  <c r="L31" i="23"/>
  <c r="G40" i="22" s="1"/>
  <c r="AM44" i="17"/>
  <c r="M41" i="11"/>
  <c r="F41" i="11"/>
  <c r="D41" i="9"/>
  <c r="C42" i="11"/>
  <c r="E40" i="9"/>
  <c r="F67" i="18"/>
  <c r="F67" i="8"/>
  <c r="G44" i="11"/>
  <c r="N44" i="11"/>
  <c r="G46" i="11"/>
  <c r="N46" i="11"/>
  <c r="G47" i="11"/>
  <c r="N47" i="11"/>
  <c r="G45" i="11"/>
  <c r="N45" i="11"/>
  <c r="J53" i="19"/>
  <c r="H53" i="19"/>
  <c r="H54" i="19"/>
  <c r="J54" i="19"/>
  <c r="K54" i="19"/>
  <c r="H112" i="17"/>
  <c r="H117" i="17"/>
  <c r="S42" i="17"/>
  <c r="P42" i="17"/>
  <c r="I112" i="17"/>
  <c r="I115" i="17" s="1"/>
  <c r="I122" i="17" s="1"/>
  <c r="I117" i="17"/>
  <c r="I118" i="17" s="1"/>
  <c r="I120" i="17" s="1"/>
  <c r="H111" i="17"/>
  <c r="AF43" i="17"/>
  <c r="J114" i="17"/>
  <c r="J108" i="17"/>
  <c r="I75" i="8"/>
  <c r="I76" i="8"/>
  <c r="I74" i="8"/>
  <c r="I77" i="8"/>
  <c r="F39" i="8"/>
  <c r="G39" i="8"/>
  <c r="H39" i="8"/>
  <c r="I39" i="8"/>
  <c r="J39" i="8"/>
  <c r="J109" i="12"/>
  <c r="J111" i="12" s="1"/>
  <c r="I112" i="12"/>
  <c r="I115" i="12" s="1"/>
  <c r="I117" i="12"/>
  <c r="L94" i="12"/>
  <c r="S42" i="12"/>
  <c r="P42" i="12"/>
  <c r="I36" i="7" s="1"/>
  <c r="J117" i="12"/>
  <c r="L108" i="12"/>
  <c r="H109" i="12"/>
  <c r="H112" i="12" s="1"/>
  <c r="P43" i="12"/>
  <c r="K67" i="18" l="1"/>
  <c r="V51" i="22"/>
  <c r="V24" i="22"/>
  <c r="AB28" i="26"/>
  <c r="Z24" i="22" s="1"/>
  <c r="T24" i="22"/>
  <c r="Z28" i="26"/>
  <c r="Y24" i="22" s="1"/>
  <c r="V28" i="26"/>
  <c r="W24" i="22" s="1"/>
  <c r="P24" i="22"/>
  <c r="K78" i="26"/>
  <c r="N78" i="26" s="1" a="1"/>
  <c r="N78" i="26" s="1"/>
  <c r="J86" i="26"/>
  <c r="K86" i="26" s="1"/>
  <c r="N80" i="26" a="1"/>
  <c r="N80" i="26" s="1"/>
  <c r="S92" i="26" a="1"/>
  <c r="S92" i="26" s="1"/>
  <c r="M43" i="11"/>
  <c r="F43" i="11"/>
  <c r="V12" i="22"/>
  <c r="AB18" i="26"/>
  <c r="Z12" i="22" s="1"/>
  <c r="T12" i="22"/>
  <c r="Z18" i="26"/>
  <c r="Y12" i="22" s="1"/>
  <c r="Y28" i="26"/>
  <c r="S24" i="22"/>
  <c r="AA18" i="26"/>
  <c r="U12" i="22"/>
  <c r="O80" i="26" a="1"/>
  <c r="O80" i="26" s="1"/>
  <c r="T92" i="26" a="1"/>
  <c r="T92" i="26" s="1"/>
  <c r="O81" i="26" a="1"/>
  <c r="O81" i="26" s="1"/>
  <c r="Y18" i="26"/>
  <c r="S12" i="22"/>
  <c r="U24" i="22"/>
  <c r="AA28" i="26"/>
  <c r="Q51" i="22"/>
  <c r="T80" i="26" a="1"/>
  <c r="T80" i="26" s="1"/>
  <c r="AI65" i="24"/>
  <c r="AI89" i="24"/>
  <c r="AI77" i="24"/>
  <c r="AL77" i="24"/>
  <c r="AL65" i="24"/>
  <c r="AL89" i="24"/>
  <c r="L19" i="23"/>
  <c r="G22" i="22" s="1"/>
  <c r="H19" i="23"/>
  <c r="L10" i="23"/>
  <c r="G11" i="22" s="1"/>
  <c r="H10" i="23"/>
  <c r="R24" i="22"/>
  <c r="X28" i="26"/>
  <c r="X24" i="22" s="1"/>
  <c r="S80" i="26" a="1"/>
  <c r="S80" i="26" s="1"/>
  <c r="S84" i="26" a="1"/>
  <c r="S84" i="26" s="1"/>
  <c r="AA84" i="26" s="1"/>
  <c r="R84" i="26" a="1"/>
  <c r="R84" i="26" s="1"/>
  <c r="P84" i="26" a="1"/>
  <c r="P84" i="26" s="1"/>
  <c r="X84" i="26" s="1"/>
  <c r="X95" i="22" s="1"/>
  <c r="Q84" i="26" a="1"/>
  <c r="Q84" i="26" s="1"/>
  <c r="O84" i="26" a="1"/>
  <c r="O84" i="26" s="1"/>
  <c r="T84" i="26" a="1"/>
  <c r="T84" i="26" s="1"/>
  <c r="N84" i="26" a="1"/>
  <c r="N84" i="26" s="1"/>
  <c r="S66" i="22"/>
  <c r="V8" i="22"/>
  <c r="AM77" i="24"/>
  <c r="AM89" i="24"/>
  <c r="AM65" i="24"/>
  <c r="R12" i="22"/>
  <c r="X18" i="26"/>
  <c r="X12" i="22" s="1"/>
  <c r="AK65" i="24"/>
  <c r="AK89" i="24"/>
  <c r="AK77" i="24"/>
  <c r="T81" i="26" a="1"/>
  <c r="T81" i="26" s="1"/>
  <c r="O28" i="26" a="1"/>
  <c r="O28" i="26" s="1"/>
  <c r="O18" i="26" a="1"/>
  <c r="O18" i="26" s="1"/>
  <c r="O14" i="26" a="1"/>
  <c r="O14" i="26" s="1"/>
  <c r="O23" i="26" a="1"/>
  <c r="O23" i="26" s="1"/>
  <c r="O31" i="26" a="1"/>
  <c r="O31" i="26" s="1"/>
  <c r="O13" i="26" a="1"/>
  <c r="O13" i="26" s="1"/>
  <c r="P51" i="22"/>
  <c r="P92" i="26" a="1"/>
  <c r="P92" i="26" s="1"/>
  <c r="Q81" i="26" a="1"/>
  <c r="Q81" i="26" s="1"/>
  <c r="S44" i="12"/>
  <c r="I41" i="7" s="1"/>
  <c r="S38" i="12"/>
  <c r="S15" i="12" s="1"/>
  <c r="S43" i="12"/>
  <c r="I39" i="7" s="1"/>
  <c r="I6" i="23"/>
  <c r="N6" i="23" s="1"/>
  <c r="I7" i="22" s="1"/>
  <c r="K79" i="26"/>
  <c r="J87" i="26"/>
  <c r="L73" i="17"/>
  <c r="BD68" i="13"/>
  <c r="V18" i="26"/>
  <c r="W12" i="22" s="1"/>
  <c r="P12" i="22"/>
  <c r="L8" i="23"/>
  <c r="G9" i="22" s="1"/>
  <c r="H70" i="23"/>
  <c r="I70" i="23" s="1"/>
  <c r="N70" i="23" s="1"/>
  <c r="I88" i="22" s="1"/>
  <c r="Q24" i="26" a="1"/>
  <c r="Q24" i="26" s="1"/>
  <c r="P24" i="26" a="1"/>
  <c r="P24" i="26" s="1"/>
  <c r="O24" i="26" a="1"/>
  <c r="O24" i="26" s="1"/>
  <c r="N24" i="26" a="1"/>
  <c r="N24" i="26" s="1"/>
  <c r="S24" i="26" a="1"/>
  <c r="S24" i="26" s="1"/>
  <c r="T24" i="26" a="1"/>
  <c r="T24" i="26" s="1"/>
  <c r="R24" i="26" a="1"/>
  <c r="R24" i="26" s="1"/>
  <c r="S79" i="26" a="1"/>
  <c r="S79" i="26" s="1"/>
  <c r="R79" i="26" a="1"/>
  <c r="R79" i="26" s="1"/>
  <c r="Q79" i="26" a="1"/>
  <c r="Q79" i="26" s="1"/>
  <c r="P79" i="26" a="1"/>
  <c r="P79" i="26" s="1"/>
  <c r="O79" i="26" a="1"/>
  <c r="O79" i="26" s="1"/>
  <c r="N79" i="26" a="1"/>
  <c r="N79" i="26" s="1"/>
  <c r="T79" i="26" a="1"/>
  <c r="T79" i="26" s="1"/>
  <c r="O88" i="26" a="1"/>
  <c r="O88" i="26" s="1"/>
  <c r="T88" i="26" a="1"/>
  <c r="T88" i="26" s="1"/>
  <c r="V99" i="22" s="1"/>
  <c r="P88" i="26" a="1"/>
  <c r="P88" i="26" s="1"/>
  <c r="S88" i="26" a="1"/>
  <c r="S88" i="26" s="1"/>
  <c r="R88" i="26" a="1"/>
  <c r="R88" i="26" s="1"/>
  <c r="Q88" i="26" a="1"/>
  <c r="Q88" i="26" s="1"/>
  <c r="N88" i="26" a="1"/>
  <c r="N88" i="26" s="1"/>
  <c r="P99" i="22" s="1"/>
  <c r="N89" i="26" a="1"/>
  <c r="N89" i="26" s="1"/>
  <c r="T89" i="26" a="1"/>
  <c r="T89" i="26" s="1"/>
  <c r="S89" i="26" a="1"/>
  <c r="S89" i="26" s="1"/>
  <c r="P89" i="26" a="1"/>
  <c r="P89" i="26" s="1"/>
  <c r="R89" i="26" a="1"/>
  <c r="R89" i="26" s="1"/>
  <c r="O89" i="26" a="1"/>
  <c r="O89" i="26" s="1"/>
  <c r="Q89" i="26" a="1"/>
  <c r="Q89" i="26" s="1"/>
  <c r="Q67" i="26" a="1"/>
  <c r="Q67" i="26" s="1"/>
  <c r="P67" i="26" a="1"/>
  <c r="P67" i="26" s="1"/>
  <c r="O67" i="26" a="1"/>
  <c r="O67" i="26" s="1"/>
  <c r="N67" i="26" a="1"/>
  <c r="N67" i="26" s="1"/>
  <c r="T67" i="26" a="1"/>
  <c r="T67" i="26" s="1"/>
  <c r="R67" i="26" a="1"/>
  <c r="R67" i="26" s="1"/>
  <c r="S67" i="26" a="1"/>
  <c r="S67" i="26" s="1"/>
  <c r="S59" i="26" a="1"/>
  <c r="S59" i="26" s="1"/>
  <c r="AA59" i="26" s="1"/>
  <c r="R59" i="26" a="1"/>
  <c r="R59" i="26" s="1"/>
  <c r="Z59" i="26" s="1"/>
  <c r="Y70" i="22" s="1"/>
  <c r="Q59" i="26" a="1"/>
  <c r="Q59" i="26" s="1"/>
  <c r="Y59" i="26" s="1"/>
  <c r="N59" i="26" a="1"/>
  <c r="N59" i="26" s="1"/>
  <c r="P70" i="22" s="1"/>
  <c r="P59" i="26" a="1"/>
  <c r="P59" i="26" s="1"/>
  <c r="X59" i="26" s="1"/>
  <c r="X70" i="22" s="1"/>
  <c r="O59" i="26" a="1"/>
  <c r="O59" i="26" s="1"/>
  <c r="W59" i="26" s="1"/>
  <c r="T59" i="26" a="1"/>
  <c r="T59" i="26" s="1"/>
  <c r="V70" i="22" s="1"/>
  <c r="N35" i="26" a="1"/>
  <c r="N35" i="26" s="1"/>
  <c r="S35" i="26" a="1"/>
  <c r="S35" i="26" s="1"/>
  <c r="T35" i="26" a="1"/>
  <c r="T35" i="26" s="1"/>
  <c r="Q35" i="26" a="1"/>
  <c r="Q35" i="26" s="1"/>
  <c r="P35" i="26" a="1"/>
  <c r="P35" i="26" s="1"/>
  <c r="X35" i="26" s="1"/>
  <c r="X35" i="22" s="1"/>
  <c r="R35" i="26" a="1"/>
  <c r="R35" i="26" s="1"/>
  <c r="O35" i="26" a="1"/>
  <c r="O35" i="26" s="1"/>
  <c r="Q35" i="22" s="1"/>
  <c r="T77" i="26" a="1"/>
  <c r="T77" i="26" s="1"/>
  <c r="Q77" i="26" a="1"/>
  <c r="Q77" i="26" s="1"/>
  <c r="S77" i="26" a="1"/>
  <c r="S77" i="26" s="1"/>
  <c r="R77" i="26" a="1"/>
  <c r="R77" i="26" s="1"/>
  <c r="P77" i="26" a="1"/>
  <c r="P77" i="26" s="1"/>
  <c r="O77" i="26" a="1"/>
  <c r="O77" i="26" s="1"/>
  <c r="N77" i="26" a="1"/>
  <c r="N77" i="26" s="1"/>
  <c r="S40" i="22"/>
  <c r="W93" i="26"/>
  <c r="Z38" i="26"/>
  <c r="Y40" i="22" s="1"/>
  <c r="X93" i="26"/>
  <c r="X104" i="22" s="1"/>
  <c r="S104" i="22"/>
  <c r="AB38" i="26"/>
  <c r="Z40" i="22" s="1"/>
  <c r="V38" i="26"/>
  <c r="W40" i="22" s="1"/>
  <c r="P104" i="22"/>
  <c r="Q40" i="22"/>
  <c r="S96" i="22"/>
  <c r="AA82" i="26"/>
  <c r="V85" i="26"/>
  <c r="W96" i="22" s="1"/>
  <c r="T94" i="22"/>
  <c r="U94" i="22"/>
  <c r="AA85" i="26"/>
  <c r="AA93" i="26"/>
  <c r="P94" i="22"/>
  <c r="Q94" i="22"/>
  <c r="V94" i="22"/>
  <c r="W85" i="26"/>
  <c r="T75" i="22"/>
  <c r="T40" i="22"/>
  <c r="AA63" i="26"/>
  <c r="X85" i="26"/>
  <c r="X96" i="22" s="1"/>
  <c r="R94" i="22"/>
  <c r="Q75" i="22"/>
  <c r="P75" i="22"/>
  <c r="V63" i="26"/>
  <c r="W74" i="22" s="1"/>
  <c r="T74" i="22"/>
  <c r="V74" i="22"/>
  <c r="V75" i="22"/>
  <c r="W63" i="26"/>
  <c r="P40" i="22"/>
  <c r="S75" i="22"/>
  <c r="W38" i="26"/>
  <c r="V40" i="22"/>
  <c r="V82" i="26"/>
  <c r="W93" i="22" s="1"/>
  <c r="AA66" i="26"/>
  <c r="U77" i="22"/>
  <c r="AB66" i="26"/>
  <c r="Z77" i="22" s="1"/>
  <c r="V77" i="22"/>
  <c r="X63" i="26"/>
  <c r="X74" i="22" s="1"/>
  <c r="R74" i="22"/>
  <c r="S74" i="22"/>
  <c r="T96" i="22"/>
  <c r="X82" i="26"/>
  <c r="X93" i="22" s="1"/>
  <c r="U40" i="22"/>
  <c r="AA38" i="26"/>
  <c r="R40" i="22"/>
  <c r="W66" i="26"/>
  <c r="Q77" i="22"/>
  <c r="K90" i="26"/>
  <c r="X66" i="26"/>
  <c r="X77" i="22" s="1"/>
  <c r="R77" i="22"/>
  <c r="Q104" i="22"/>
  <c r="R75" i="22"/>
  <c r="Y66" i="26"/>
  <c r="S77" i="22"/>
  <c r="U75" i="22"/>
  <c r="AA64" i="26"/>
  <c r="P77" i="22"/>
  <c r="V66" i="26"/>
  <c r="W77" i="22" s="1"/>
  <c r="Z66" i="26"/>
  <c r="Y77" i="22" s="1"/>
  <c r="T77" i="22"/>
  <c r="K48" i="26"/>
  <c r="T104" i="22"/>
  <c r="Y93" i="26"/>
  <c r="R104" i="22"/>
  <c r="V104" i="22"/>
  <c r="V92" i="22"/>
  <c r="W43" i="26"/>
  <c r="Q45" i="22"/>
  <c r="Q14" i="22"/>
  <c r="W20" i="26"/>
  <c r="AB30" i="26"/>
  <c r="Z26" i="22" s="1"/>
  <c r="V26" i="22"/>
  <c r="AB61" i="26"/>
  <c r="Z72" i="22" s="1"/>
  <c r="V72" i="22"/>
  <c r="W60" i="26"/>
  <c r="Q71" i="22"/>
  <c r="W58" i="26"/>
  <c r="Q69" i="22"/>
  <c r="R95" i="22"/>
  <c r="X43" i="26"/>
  <c r="X45" i="22" s="1"/>
  <c r="R45" i="22"/>
  <c r="Z30" i="26"/>
  <c r="Y26" i="22" s="1"/>
  <c r="T26" i="22"/>
  <c r="AB58" i="26"/>
  <c r="Z69" i="22" s="1"/>
  <c r="V69" i="22"/>
  <c r="V21" i="26"/>
  <c r="W15" i="22" s="1"/>
  <c r="P15" i="22"/>
  <c r="AB82" i="26"/>
  <c r="Z93" i="22" s="1"/>
  <c r="V93" i="22"/>
  <c r="Y20" i="26"/>
  <c r="S14" i="22"/>
  <c r="AA16" i="26"/>
  <c r="U10" i="22"/>
  <c r="Y21" i="26"/>
  <c r="S15" i="22"/>
  <c r="Y58" i="26"/>
  <c r="S69" i="22"/>
  <c r="AB16" i="26"/>
  <c r="Z10" i="22" s="1"/>
  <c r="V10" i="22"/>
  <c r="Z84" i="26"/>
  <c r="Y95" i="22" s="1"/>
  <c r="T95" i="22"/>
  <c r="AB22" i="26"/>
  <c r="Z18" i="22" s="1"/>
  <c r="V18" i="22"/>
  <c r="Y43" i="26"/>
  <c r="S45" i="22"/>
  <c r="V30" i="26"/>
  <c r="W26" i="22" s="1"/>
  <c r="P26" i="22"/>
  <c r="W61" i="26"/>
  <c r="Q72" i="22"/>
  <c r="AA60" i="26"/>
  <c r="U71" i="22"/>
  <c r="X25" i="26"/>
  <c r="X21" i="22" s="1"/>
  <c r="R21" i="22"/>
  <c r="X58" i="26"/>
  <c r="X69" i="22" s="1"/>
  <c r="R69" i="22"/>
  <c r="W82" i="26"/>
  <c r="Q93" i="22"/>
  <c r="AB43" i="26"/>
  <c r="Z45" i="22" s="1"/>
  <c r="V45" i="22"/>
  <c r="R26" i="22"/>
  <c r="X30" i="26"/>
  <c r="X26" i="22" s="1"/>
  <c r="Z61" i="26"/>
  <c r="Y72" i="22" s="1"/>
  <c r="T72" i="22"/>
  <c r="AB60" i="26"/>
  <c r="Z71" i="22" s="1"/>
  <c r="V71" i="22"/>
  <c r="Z25" i="26"/>
  <c r="Y21" i="22" s="1"/>
  <c r="T21" i="22"/>
  <c r="Y30" i="26"/>
  <c r="S26" i="22"/>
  <c r="AA61" i="26"/>
  <c r="U72" i="22"/>
  <c r="U21" i="22"/>
  <c r="AA25" i="26"/>
  <c r="Q95" i="22"/>
  <c r="W84" i="26"/>
  <c r="Y82" i="26"/>
  <c r="S93" i="22"/>
  <c r="P45" i="22"/>
  <c r="V43" i="26"/>
  <c r="W45" i="22" s="1"/>
  <c r="V20" i="26"/>
  <c r="W14" i="22" s="1"/>
  <c r="P14" i="22"/>
  <c r="AA30" i="26"/>
  <c r="U26" i="22"/>
  <c r="V61" i="26"/>
  <c r="W72" i="22" s="1"/>
  <c r="P72" i="22"/>
  <c r="V60" i="26"/>
  <c r="W71" i="22" s="1"/>
  <c r="P71" i="22"/>
  <c r="AA58" i="26"/>
  <c r="U69" i="22"/>
  <c r="V21" i="22"/>
  <c r="AB25" i="26"/>
  <c r="Z21" i="22" s="1"/>
  <c r="V58" i="26"/>
  <c r="W69" i="22" s="1"/>
  <c r="P69" i="22"/>
  <c r="V84" i="26"/>
  <c r="W95" i="22" s="1"/>
  <c r="P95" i="22"/>
  <c r="Z82" i="26"/>
  <c r="Y93" i="22" s="1"/>
  <c r="T93" i="22"/>
  <c r="T10" i="22"/>
  <c r="Z16" i="26"/>
  <c r="Y10" i="22" s="1"/>
  <c r="U14" i="22"/>
  <c r="AA20" i="26"/>
  <c r="W21" i="26"/>
  <c r="Q15" i="22"/>
  <c r="Y22" i="26"/>
  <c r="S18" i="22"/>
  <c r="AB20" i="26"/>
  <c r="Z14" i="22" s="1"/>
  <c r="V14" i="22"/>
  <c r="X21" i="26"/>
  <c r="X15" i="22" s="1"/>
  <c r="R15" i="22"/>
  <c r="Z22" i="26"/>
  <c r="Y18" i="22" s="1"/>
  <c r="T18" i="22"/>
  <c r="T14" i="22"/>
  <c r="Z20" i="26"/>
  <c r="Y14" i="22" s="1"/>
  <c r="V25" i="26"/>
  <c r="W21" i="22" s="1"/>
  <c r="P21" i="22"/>
  <c r="W16" i="26"/>
  <c r="Q10" i="22"/>
  <c r="Z21" i="26"/>
  <c r="Y15" i="22" s="1"/>
  <c r="T15" i="22"/>
  <c r="Z58" i="26"/>
  <c r="Y69" i="22" s="1"/>
  <c r="T69" i="22"/>
  <c r="AB84" i="26"/>
  <c r="Z95" i="22" s="1"/>
  <c r="V95" i="22"/>
  <c r="V22" i="26"/>
  <c r="W18" i="22" s="1"/>
  <c r="P18" i="22"/>
  <c r="Z43" i="26"/>
  <c r="Y45" i="22" s="1"/>
  <c r="T45" i="22"/>
  <c r="Q26" i="22"/>
  <c r="W30" i="26"/>
  <c r="X61" i="26"/>
  <c r="X72" i="22" s="1"/>
  <c r="R72" i="22"/>
  <c r="Y60" i="26"/>
  <c r="S71" i="22"/>
  <c r="Q21" i="22"/>
  <c r="W25" i="26"/>
  <c r="R10" i="22"/>
  <c r="X16" i="26"/>
  <c r="X10" i="22" s="1"/>
  <c r="AA21" i="26"/>
  <c r="U15" i="22"/>
  <c r="R14" i="22"/>
  <c r="X20" i="26"/>
  <c r="X14" i="22" s="1"/>
  <c r="X60" i="26"/>
  <c r="X71" i="22" s="1"/>
  <c r="R71" i="22"/>
  <c r="Y84" i="26"/>
  <c r="S95" i="22"/>
  <c r="W22" i="26"/>
  <c r="Q18" i="22"/>
  <c r="X22" i="26"/>
  <c r="X18" i="22" s="1"/>
  <c r="R18" i="22"/>
  <c r="V16" i="26"/>
  <c r="W10" i="22" s="1"/>
  <c r="P10" i="22"/>
  <c r="AA22" i="26"/>
  <c r="U18" i="22"/>
  <c r="AA43" i="26"/>
  <c r="U45" i="22"/>
  <c r="Y61" i="26"/>
  <c r="S72" i="22"/>
  <c r="Z60" i="26"/>
  <c r="Y71" i="22" s="1"/>
  <c r="T71" i="22"/>
  <c r="Y25" i="26"/>
  <c r="S21" i="22"/>
  <c r="S10" i="22"/>
  <c r="Y16" i="26"/>
  <c r="AB21" i="26"/>
  <c r="Z15" i="22" s="1"/>
  <c r="V15" i="22"/>
  <c r="V92" i="26"/>
  <c r="W103" i="22" s="1"/>
  <c r="P103" i="22"/>
  <c r="W27" i="26"/>
  <c r="Q23" i="22"/>
  <c r="Y42" i="26"/>
  <c r="S44" i="22"/>
  <c r="Z92" i="26"/>
  <c r="Y103" i="22" s="1"/>
  <c r="T103" i="22"/>
  <c r="Y19" i="26"/>
  <c r="S13" i="22"/>
  <c r="X27" i="26"/>
  <c r="X23" i="22" s="1"/>
  <c r="R23" i="22"/>
  <c r="AB19" i="26"/>
  <c r="Z13" i="22" s="1"/>
  <c r="V13" i="22"/>
  <c r="V27" i="26"/>
  <c r="W23" i="22" s="1"/>
  <c r="P23" i="22"/>
  <c r="X91" i="26"/>
  <c r="X102" i="22" s="1"/>
  <c r="R102" i="22"/>
  <c r="V42" i="26"/>
  <c r="W44" i="22" s="1"/>
  <c r="P44" i="22"/>
  <c r="AA91" i="26"/>
  <c r="U102" i="22"/>
  <c r="W42" i="26"/>
  <c r="Q44" i="22"/>
  <c r="W19" i="26"/>
  <c r="Q13" i="22"/>
  <c r="X42" i="26"/>
  <c r="X44" i="22" s="1"/>
  <c r="R44" i="22"/>
  <c r="X19" i="26"/>
  <c r="X13" i="22" s="1"/>
  <c r="R13" i="22"/>
  <c r="Z27" i="26"/>
  <c r="Y23" i="22" s="1"/>
  <c r="T23" i="22"/>
  <c r="Z42" i="26"/>
  <c r="Y44" i="22" s="1"/>
  <c r="T44" i="22"/>
  <c r="AB92" i="26"/>
  <c r="Z103" i="22" s="1"/>
  <c r="V103" i="22"/>
  <c r="V19" i="26"/>
  <c r="W13" i="22" s="1"/>
  <c r="P13" i="22"/>
  <c r="Y27" i="26"/>
  <c r="S23" i="22"/>
  <c r="W91" i="26"/>
  <c r="Q102" i="22"/>
  <c r="Z91" i="26"/>
  <c r="Y102" i="22" s="1"/>
  <c r="T102" i="22"/>
  <c r="AB91" i="26"/>
  <c r="Z102" i="22" s="1"/>
  <c r="V102" i="22"/>
  <c r="AB42" i="26"/>
  <c r="Z44" i="22" s="1"/>
  <c r="V44" i="22"/>
  <c r="AA92" i="26"/>
  <c r="U103" i="22"/>
  <c r="Z19" i="26"/>
  <c r="Y13" i="22" s="1"/>
  <c r="T13" i="22"/>
  <c r="AA27" i="26"/>
  <c r="U23" i="22"/>
  <c r="V91" i="26"/>
  <c r="W102" i="22" s="1"/>
  <c r="P102" i="22"/>
  <c r="Y91" i="26"/>
  <c r="S102" i="22"/>
  <c r="R103" i="22"/>
  <c r="X92" i="26"/>
  <c r="X103" i="22" s="1"/>
  <c r="Y92" i="26"/>
  <c r="S103" i="22"/>
  <c r="AA42" i="26"/>
  <c r="U44" i="22"/>
  <c r="Q103" i="22"/>
  <c r="W92" i="26"/>
  <c r="AA19" i="26"/>
  <c r="U13" i="22"/>
  <c r="AB27" i="26"/>
  <c r="Z23" i="22" s="1"/>
  <c r="V23" i="22"/>
  <c r="S56" i="22"/>
  <c r="S57" i="22"/>
  <c r="K87" i="26"/>
  <c r="G75" i="23"/>
  <c r="H75" i="23" s="1"/>
  <c r="K75" i="23"/>
  <c r="F93" i="22" s="1"/>
  <c r="E74" i="23"/>
  <c r="J74" i="23" s="1"/>
  <c r="G78" i="23"/>
  <c r="H78" i="23" s="1"/>
  <c r="K74" i="23"/>
  <c r="F92" i="22" s="1"/>
  <c r="K76" i="23"/>
  <c r="F94" i="22" s="1"/>
  <c r="I41" i="23"/>
  <c r="N41" i="23" s="1"/>
  <c r="I52" i="22" s="1"/>
  <c r="E78" i="23"/>
  <c r="J78" i="23" s="1"/>
  <c r="M70" i="23"/>
  <c r="H88" i="22" s="1"/>
  <c r="I35" i="23"/>
  <c r="N35" i="23" s="1"/>
  <c r="I44" i="22" s="1"/>
  <c r="M35" i="23"/>
  <c r="H44" i="22" s="1"/>
  <c r="H64" i="23"/>
  <c r="M64" i="23" s="1"/>
  <c r="H82" i="22" s="1"/>
  <c r="M46" i="23"/>
  <c r="H62" i="22" s="1"/>
  <c r="I46" i="23"/>
  <c r="N46" i="23" s="1"/>
  <c r="I62" i="22" s="1"/>
  <c r="M25" i="23"/>
  <c r="H30" i="22" s="1"/>
  <c r="I25" i="23"/>
  <c r="N25" i="23" s="1"/>
  <c r="I30" i="22" s="1"/>
  <c r="E73" i="23"/>
  <c r="J73" i="23" s="1"/>
  <c r="G73" i="23"/>
  <c r="H73" i="23" s="1"/>
  <c r="H82" i="23"/>
  <c r="L82" i="23"/>
  <c r="G100" i="22" s="1"/>
  <c r="G76" i="23"/>
  <c r="L68" i="23"/>
  <c r="G86" i="22" s="1"/>
  <c r="H68" i="23"/>
  <c r="H79" i="23"/>
  <c r="L79" i="23"/>
  <c r="G97" i="22" s="1"/>
  <c r="J72" i="23"/>
  <c r="L39" i="23"/>
  <c r="G50" i="22" s="1"/>
  <c r="H39" i="23"/>
  <c r="L65" i="23"/>
  <c r="G83" i="22" s="1"/>
  <c r="H65" i="23"/>
  <c r="H80" i="23"/>
  <c r="L80" i="23"/>
  <c r="G98" i="22" s="1"/>
  <c r="H81" i="23"/>
  <c r="L81" i="23"/>
  <c r="G99" i="22" s="1"/>
  <c r="H86" i="23"/>
  <c r="L86" i="23"/>
  <c r="G104" i="22" s="1"/>
  <c r="H30" i="23"/>
  <c r="L30" i="23"/>
  <c r="G37" i="22" s="1"/>
  <c r="I22" i="23"/>
  <c r="N22" i="23" s="1"/>
  <c r="I25" i="22" s="1"/>
  <c r="M22" i="23"/>
  <c r="H25" i="22" s="1"/>
  <c r="H62" i="23"/>
  <c r="L62" i="23"/>
  <c r="G80" i="22" s="1"/>
  <c r="L66" i="23"/>
  <c r="G84" i="22" s="1"/>
  <c r="H66" i="23"/>
  <c r="L72" i="23"/>
  <c r="G90" i="22" s="1"/>
  <c r="H72" i="23"/>
  <c r="L67" i="23"/>
  <c r="G85" i="22" s="1"/>
  <c r="H67" i="23"/>
  <c r="L63" i="23"/>
  <c r="G81" i="22" s="1"/>
  <c r="H63" i="23"/>
  <c r="H85" i="23"/>
  <c r="L85" i="23"/>
  <c r="G103" i="22" s="1"/>
  <c r="I33" i="23"/>
  <c r="N33" i="23" s="1"/>
  <c r="I42" i="22" s="1"/>
  <c r="M33" i="23"/>
  <c r="H42" i="22" s="1"/>
  <c r="H42" i="23"/>
  <c r="L42" i="23"/>
  <c r="G53" i="22" s="1"/>
  <c r="H84" i="23"/>
  <c r="L84" i="23"/>
  <c r="G102" i="22" s="1"/>
  <c r="L40" i="23"/>
  <c r="G51" i="22" s="1"/>
  <c r="H40" i="23"/>
  <c r="M37" i="23"/>
  <c r="H46" i="22" s="1"/>
  <c r="I37" i="23"/>
  <c r="N37" i="23" s="1"/>
  <c r="I46" i="22" s="1"/>
  <c r="H28" i="23"/>
  <c r="L28" i="23"/>
  <c r="G35" i="22" s="1"/>
  <c r="H38" i="23"/>
  <c r="L38" i="23"/>
  <c r="G49" i="22" s="1"/>
  <c r="L71" i="23"/>
  <c r="G89" i="22" s="1"/>
  <c r="H71" i="23"/>
  <c r="L69" i="23"/>
  <c r="G87" i="22" s="1"/>
  <c r="H69" i="23"/>
  <c r="L83" i="23"/>
  <c r="G101" i="22" s="1"/>
  <c r="H83" i="23"/>
  <c r="I54" i="23"/>
  <c r="N54" i="23" s="1"/>
  <c r="I72" i="22" s="1"/>
  <c r="M57" i="23"/>
  <c r="H75" i="22" s="1"/>
  <c r="L74" i="23"/>
  <c r="G92" i="22" s="1"/>
  <c r="H74" i="23"/>
  <c r="H77" i="23"/>
  <c r="L77" i="23"/>
  <c r="G95" i="22" s="1"/>
  <c r="M16" i="23"/>
  <c r="H19" i="22" s="1"/>
  <c r="I7" i="23"/>
  <c r="N7" i="23" s="1"/>
  <c r="I8" i="22" s="1"/>
  <c r="H36" i="23"/>
  <c r="L36" i="23"/>
  <c r="G45" i="22" s="1"/>
  <c r="M59" i="23"/>
  <c r="H77" i="22" s="1"/>
  <c r="I13" i="23"/>
  <c r="N13" i="23" s="1"/>
  <c r="I14" i="22" s="1"/>
  <c r="M13" i="23"/>
  <c r="H14" i="22" s="1"/>
  <c r="I8" i="23"/>
  <c r="N8" i="23" s="1"/>
  <c r="I9" i="22" s="1"/>
  <c r="M8" i="23"/>
  <c r="H9" i="22" s="1"/>
  <c r="M23" i="23"/>
  <c r="H26" i="22" s="1"/>
  <c r="I23" i="23"/>
  <c r="N23" i="23" s="1"/>
  <c r="I26" i="22" s="1"/>
  <c r="I52" i="23"/>
  <c r="N52" i="23" s="1"/>
  <c r="I70" i="22" s="1"/>
  <c r="M52" i="23"/>
  <c r="H70" i="22" s="1"/>
  <c r="M45" i="23"/>
  <c r="H61" i="22" s="1"/>
  <c r="I45" i="23"/>
  <c r="N45" i="23" s="1"/>
  <c r="I61" i="22" s="1"/>
  <c r="M47" i="23"/>
  <c r="H63" i="22" s="1"/>
  <c r="I47" i="23"/>
  <c r="N47" i="23" s="1"/>
  <c r="I63" i="22" s="1"/>
  <c r="I55" i="23"/>
  <c r="N55" i="23" s="1"/>
  <c r="I73" i="22" s="1"/>
  <c r="M55" i="23"/>
  <c r="H73" i="22" s="1"/>
  <c r="I58" i="23"/>
  <c r="N58" i="23" s="1"/>
  <c r="I76" i="22" s="1"/>
  <c r="M58" i="23"/>
  <c r="H76" i="22" s="1"/>
  <c r="M31" i="23"/>
  <c r="H40" i="22" s="1"/>
  <c r="I31" i="23"/>
  <c r="N31" i="23" s="1"/>
  <c r="I40" i="22" s="1"/>
  <c r="I9" i="23"/>
  <c r="N9" i="23" s="1"/>
  <c r="I10" i="22" s="1"/>
  <c r="M9" i="23"/>
  <c r="H10" i="22" s="1"/>
  <c r="M26" i="23"/>
  <c r="H33" i="22" s="1"/>
  <c r="I26" i="23"/>
  <c r="N26" i="23" s="1"/>
  <c r="I33" i="22" s="1"/>
  <c r="AG43" i="17"/>
  <c r="C38" i="9"/>
  <c r="F40" i="9"/>
  <c r="G67" i="8"/>
  <c r="E41" i="9"/>
  <c r="F68" i="8"/>
  <c r="F68" i="18"/>
  <c r="G41" i="11"/>
  <c r="N41" i="11"/>
  <c r="AL43" i="17"/>
  <c r="H45" i="11"/>
  <c r="O45" i="11"/>
  <c r="AF44" i="12"/>
  <c r="AG44" i="12" s="1"/>
  <c r="AM44" i="12" s="1"/>
  <c r="I38" i="7"/>
  <c r="H47" i="11"/>
  <c r="O47" i="11"/>
  <c r="J63" i="18"/>
  <c r="E26" i="2"/>
  <c r="D37" i="11"/>
  <c r="H46" i="11"/>
  <c r="O46" i="11"/>
  <c r="AF42" i="12"/>
  <c r="I37" i="7"/>
  <c r="H44" i="11"/>
  <c r="O44" i="11"/>
  <c r="J109" i="17"/>
  <c r="H118" i="17"/>
  <c r="L108" i="17"/>
  <c r="AF42" i="17"/>
  <c r="AG42" i="17" s="1"/>
  <c r="AM42" i="17" s="1"/>
  <c r="H115" i="17"/>
  <c r="J74" i="8"/>
  <c r="J76" i="8"/>
  <c r="J77" i="8"/>
  <c r="J75" i="8"/>
  <c r="H115" i="12"/>
  <c r="H111" i="12"/>
  <c r="K110" i="12"/>
  <c r="I120" i="12"/>
  <c r="I122" i="12"/>
  <c r="J112" i="12"/>
  <c r="J115" i="12" s="1"/>
  <c r="AF43" i="12"/>
  <c r="AG43" i="12" s="1"/>
  <c r="AM43" i="12" s="1"/>
  <c r="T78" i="26" l="1" a="1"/>
  <c r="T78" i="26" s="1"/>
  <c r="F28" i="2"/>
  <c r="D42" i="11"/>
  <c r="E42" i="11" s="1"/>
  <c r="J68" i="18"/>
  <c r="K68" i="18" s="1"/>
  <c r="O78" i="26" a="1"/>
  <c r="O78" i="26" s="1"/>
  <c r="Q7" i="22"/>
  <c r="W13" i="26"/>
  <c r="W31" i="26"/>
  <c r="Q29" i="22"/>
  <c r="W23" i="26"/>
  <c r="Q19" i="22"/>
  <c r="R78" i="26" a="1"/>
  <c r="R78" i="26" s="1"/>
  <c r="Q8" i="22"/>
  <c r="W14" i="26"/>
  <c r="M10" i="23"/>
  <c r="H11" i="22" s="1"/>
  <c r="I10" i="23"/>
  <c r="N10" i="23" s="1"/>
  <c r="I11" i="22" s="1"/>
  <c r="S78" i="26" a="1"/>
  <c r="S78" i="26" s="1"/>
  <c r="W18" i="26"/>
  <c r="Q12" i="22"/>
  <c r="P78" i="26" a="1"/>
  <c r="P78" i="26" s="1"/>
  <c r="Q24" i="22"/>
  <c r="W28" i="26"/>
  <c r="M19" i="23"/>
  <c r="H22" i="22" s="1"/>
  <c r="I19" i="23"/>
  <c r="N19" i="23" s="1"/>
  <c r="I22" i="22" s="1"/>
  <c r="U95" i="22"/>
  <c r="Q78" i="26" a="1"/>
  <c r="Q78" i="26" s="1"/>
  <c r="F27" i="2"/>
  <c r="D40" i="11"/>
  <c r="J66" i="18"/>
  <c r="AL44" i="12"/>
  <c r="G43" i="11"/>
  <c r="N43" i="11"/>
  <c r="Q87" i="26" a="1"/>
  <c r="Q87" i="26" s="1"/>
  <c r="P87" i="26" a="1"/>
  <c r="P87" i="26" s="1"/>
  <c r="O87" i="26" a="1"/>
  <c r="O87" i="26" s="1"/>
  <c r="N87" i="26" a="1"/>
  <c r="N87" i="26" s="1"/>
  <c r="R87" i="26" a="1"/>
  <c r="R87" i="26" s="1"/>
  <c r="T87" i="26" a="1"/>
  <c r="T87" i="26" s="1"/>
  <c r="S87" i="26" a="1"/>
  <c r="S87" i="26" s="1"/>
  <c r="U70" i="22"/>
  <c r="R90" i="26" a="1"/>
  <c r="R90" i="26" s="1"/>
  <c r="Q90" i="26" a="1"/>
  <c r="Q90" i="26" s="1"/>
  <c r="S101" i="22" s="1"/>
  <c r="P90" i="26" a="1"/>
  <c r="P90" i="26" s="1"/>
  <c r="O90" i="26" a="1"/>
  <c r="O90" i="26" s="1"/>
  <c r="N90" i="26" a="1"/>
  <c r="N90" i="26" s="1"/>
  <c r="V90" i="26" s="1"/>
  <c r="W101" i="22" s="1"/>
  <c r="T90" i="26" a="1"/>
  <c r="T90" i="26" s="1"/>
  <c r="S90" i="26" a="1"/>
  <c r="S90" i="26" s="1"/>
  <c r="R86" i="26" a="1"/>
  <c r="R86" i="26" s="1"/>
  <c r="T86" i="26" a="1"/>
  <c r="T86" i="26" s="1"/>
  <c r="S86" i="26" a="1"/>
  <c r="S86" i="26" s="1"/>
  <c r="N86" i="26" a="1"/>
  <c r="N86" i="26" s="1"/>
  <c r="Q86" i="26" a="1"/>
  <c r="Q86" i="26" s="1"/>
  <c r="P86" i="26" a="1"/>
  <c r="P86" i="26" s="1"/>
  <c r="O86" i="26" a="1"/>
  <c r="O86" i="26" s="1"/>
  <c r="T70" i="22"/>
  <c r="T48" i="26" a="1"/>
  <c r="T48" i="26" s="1"/>
  <c r="S48" i="26" a="1"/>
  <c r="S48" i="26" s="1"/>
  <c r="R48" i="26" a="1"/>
  <c r="R48" i="26" s="1"/>
  <c r="N48" i="26" a="1"/>
  <c r="N48" i="26" s="1"/>
  <c r="Q48" i="26" a="1"/>
  <c r="Q48" i="26" s="1"/>
  <c r="O48" i="26" a="1"/>
  <c r="O48" i="26" s="1"/>
  <c r="P48" i="26" a="1"/>
  <c r="P48" i="26" s="1"/>
  <c r="AB88" i="26"/>
  <c r="Z99" i="22" s="1"/>
  <c r="V59" i="26"/>
  <c r="W70" i="22" s="1"/>
  <c r="AB59" i="26"/>
  <c r="Z70" i="22" s="1"/>
  <c r="Q70" i="22"/>
  <c r="V35" i="22"/>
  <c r="V35" i="26"/>
  <c r="W35" i="22" s="1"/>
  <c r="Y88" i="26"/>
  <c r="R70" i="22"/>
  <c r="Q99" i="22"/>
  <c r="S70" i="22"/>
  <c r="U99" i="22"/>
  <c r="AA35" i="26"/>
  <c r="Y35" i="26"/>
  <c r="X88" i="26"/>
  <c r="X99" i="22" s="1"/>
  <c r="T35" i="22"/>
  <c r="Z88" i="26"/>
  <c r="Y99" i="22" s="1"/>
  <c r="U93" i="22"/>
  <c r="V88" i="26"/>
  <c r="W99" i="22" s="1"/>
  <c r="R99" i="22"/>
  <c r="Z35" i="26"/>
  <c r="Y35" i="22" s="1"/>
  <c r="W88" i="26"/>
  <c r="P93" i="22"/>
  <c r="P88" i="22"/>
  <c r="V88" i="22"/>
  <c r="W35" i="26"/>
  <c r="Q88" i="22"/>
  <c r="T88" i="22"/>
  <c r="R93" i="22"/>
  <c r="P35" i="22"/>
  <c r="X77" i="26"/>
  <c r="X88" i="22" s="1"/>
  <c r="AB35" i="26"/>
  <c r="Z35" i="22" s="1"/>
  <c r="T99" i="22"/>
  <c r="R35" i="22"/>
  <c r="S99" i="22"/>
  <c r="AA88" i="26"/>
  <c r="S35" i="22"/>
  <c r="V67" i="26"/>
  <c r="W78" i="22" s="1"/>
  <c r="P78" i="22"/>
  <c r="Y77" i="26"/>
  <c r="X67" i="26"/>
  <c r="X78" i="22" s="1"/>
  <c r="R78" i="22"/>
  <c r="W67" i="26"/>
  <c r="Q78" i="22"/>
  <c r="U35" i="22"/>
  <c r="T78" i="22"/>
  <c r="Z67" i="26"/>
  <c r="Y78" i="22" s="1"/>
  <c r="AA67" i="26"/>
  <c r="U78" i="22"/>
  <c r="V78" i="22"/>
  <c r="AB67" i="26"/>
  <c r="Z78" i="22" s="1"/>
  <c r="S78" i="22"/>
  <c r="Y67" i="26"/>
  <c r="AB81" i="26"/>
  <c r="Z92" i="22" s="1"/>
  <c r="AB40" i="26"/>
  <c r="Z42" i="22" s="1"/>
  <c r="V42" i="22"/>
  <c r="Z55" i="26"/>
  <c r="Y64" i="22" s="1"/>
  <c r="T64" i="22"/>
  <c r="Q42" i="22"/>
  <c r="W40" i="26"/>
  <c r="Z15" i="26"/>
  <c r="Y9" i="22" s="1"/>
  <c r="T9" i="22"/>
  <c r="AA55" i="26"/>
  <c r="U64" i="22"/>
  <c r="R42" i="22"/>
  <c r="X40" i="26"/>
  <c r="X42" i="22" s="1"/>
  <c r="X53" i="26"/>
  <c r="X62" i="22" s="1"/>
  <c r="R62" i="22"/>
  <c r="AA15" i="26"/>
  <c r="U9" i="22"/>
  <c r="W81" i="26"/>
  <c r="Q92" i="22"/>
  <c r="AA77" i="26"/>
  <c r="U88" i="22"/>
  <c r="P62" i="22"/>
  <c r="V53" i="26"/>
  <c r="W62" i="22" s="1"/>
  <c r="Y81" i="26"/>
  <c r="S92" i="22"/>
  <c r="Z40" i="26"/>
  <c r="Y42" i="22" s="1"/>
  <c r="T42" i="22"/>
  <c r="U91" i="22"/>
  <c r="AA80" i="26"/>
  <c r="AB53" i="26"/>
  <c r="Z62" i="22" s="1"/>
  <c r="V62" i="22"/>
  <c r="V91" i="22"/>
  <c r="AB80" i="26"/>
  <c r="Z91" i="22" s="1"/>
  <c r="X55" i="26"/>
  <c r="X64" i="22" s="1"/>
  <c r="R64" i="22"/>
  <c r="Y15" i="26"/>
  <c r="S9" i="22"/>
  <c r="AB55" i="26"/>
  <c r="Z64" i="22" s="1"/>
  <c r="V64" i="22"/>
  <c r="AB15" i="26"/>
  <c r="Z9" i="22" s="1"/>
  <c r="V9" i="22"/>
  <c r="Y55" i="26"/>
  <c r="S64" i="22"/>
  <c r="P42" i="22"/>
  <c r="V40" i="26"/>
  <c r="W42" i="22" s="1"/>
  <c r="W53" i="26"/>
  <c r="Q62" i="22"/>
  <c r="AA81" i="26"/>
  <c r="U92" i="22"/>
  <c r="X80" i="26"/>
  <c r="X91" i="22" s="1"/>
  <c r="R91" i="22"/>
  <c r="Y53" i="26"/>
  <c r="S62" i="22"/>
  <c r="Z81" i="26"/>
  <c r="Y92" i="22" s="1"/>
  <c r="T92" i="22"/>
  <c r="V81" i="26"/>
  <c r="W92" i="22" s="1"/>
  <c r="P92" i="22"/>
  <c r="U42" i="22"/>
  <c r="AA40" i="26"/>
  <c r="Z53" i="26"/>
  <c r="Y62" i="22" s="1"/>
  <c r="T62" i="22"/>
  <c r="S91" i="22"/>
  <c r="Y80" i="26"/>
  <c r="Z80" i="26"/>
  <c r="Y91" i="22" s="1"/>
  <c r="T91" i="22"/>
  <c r="X15" i="26"/>
  <c r="X9" i="22" s="1"/>
  <c r="R9" i="22"/>
  <c r="V55" i="26"/>
  <c r="W64" i="22" s="1"/>
  <c r="P64" i="22"/>
  <c r="V80" i="26"/>
  <c r="W91" i="22" s="1"/>
  <c r="P91" i="22"/>
  <c r="V15" i="26"/>
  <c r="W9" i="22" s="1"/>
  <c r="P9" i="22"/>
  <c r="S42" i="22"/>
  <c r="Y40" i="26"/>
  <c r="X81" i="26"/>
  <c r="X92" i="22" s="1"/>
  <c r="R92" i="22"/>
  <c r="AA53" i="26"/>
  <c r="U62" i="22"/>
  <c r="W55" i="26"/>
  <c r="Q64" i="22"/>
  <c r="W80" i="26"/>
  <c r="Q91" i="22"/>
  <c r="W15" i="26"/>
  <c r="Q9" i="22"/>
  <c r="V89" i="26"/>
  <c r="W100" i="22" s="1"/>
  <c r="P100" i="22"/>
  <c r="X89" i="26"/>
  <c r="X100" i="22" s="1"/>
  <c r="R100" i="22"/>
  <c r="Y89" i="26"/>
  <c r="S100" i="22"/>
  <c r="AA89" i="26"/>
  <c r="U100" i="22"/>
  <c r="AB89" i="26"/>
  <c r="Z100" i="22" s="1"/>
  <c r="V100" i="22"/>
  <c r="Z89" i="26"/>
  <c r="Y100" i="22" s="1"/>
  <c r="T100" i="22"/>
  <c r="W89" i="26"/>
  <c r="Q100" i="22"/>
  <c r="L75" i="23"/>
  <c r="G93" i="22" s="1"/>
  <c r="T56" i="22"/>
  <c r="T57" i="22"/>
  <c r="L78" i="23"/>
  <c r="G96" i="22" s="1"/>
  <c r="I64" i="23"/>
  <c r="N64" i="23" s="1"/>
  <c r="I82" i="22" s="1"/>
  <c r="I82" i="23"/>
  <c r="N82" i="23" s="1"/>
  <c r="I100" i="22" s="1"/>
  <c r="M82" i="23"/>
  <c r="H100" i="22" s="1"/>
  <c r="L73" i="23"/>
  <c r="G91" i="22" s="1"/>
  <c r="M62" i="23"/>
  <c r="H80" i="22" s="1"/>
  <c r="I62" i="23"/>
  <c r="N62" i="23" s="1"/>
  <c r="I80" i="22" s="1"/>
  <c r="M39" i="23"/>
  <c r="H50" i="22" s="1"/>
  <c r="I39" i="23"/>
  <c r="N39" i="23" s="1"/>
  <c r="I50" i="22" s="1"/>
  <c r="M83" i="23"/>
  <c r="H101" i="22" s="1"/>
  <c r="I83" i="23"/>
  <c r="N83" i="23" s="1"/>
  <c r="I101" i="22" s="1"/>
  <c r="I40" i="23"/>
  <c r="N40" i="23" s="1"/>
  <c r="I51" i="22" s="1"/>
  <c r="M40" i="23"/>
  <c r="H51" i="22" s="1"/>
  <c r="M67" i="23"/>
  <c r="H85" i="22" s="1"/>
  <c r="I67" i="23"/>
  <c r="N67" i="23" s="1"/>
  <c r="I85" i="22" s="1"/>
  <c r="I86" i="23"/>
  <c r="N86" i="23" s="1"/>
  <c r="I104" i="22" s="1"/>
  <c r="M86" i="23"/>
  <c r="H104" i="22" s="1"/>
  <c r="I69" i="23"/>
  <c r="N69" i="23" s="1"/>
  <c r="I87" i="22" s="1"/>
  <c r="M69" i="23"/>
  <c r="H87" i="22" s="1"/>
  <c r="M72" i="23"/>
  <c r="H90" i="22" s="1"/>
  <c r="I72" i="23"/>
  <c r="N72" i="23" s="1"/>
  <c r="I90" i="22" s="1"/>
  <c r="I30" i="23"/>
  <c r="N30" i="23" s="1"/>
  <c r="I37" i="22" s="1"/>
  <c r="M30" i="23"/>
  <c r="H37" i="22" s="1"/>
  <c r="I84" i="23"/>
  <c r="N84" i="23" s="1"/>
  <c r="I102" i="22" s="1"/>
  <c r="M84" i="23"/>
  <c r="H102" i="22" s="1"/>
  <c r="M81" i="23"/>
  <c r="H99" i="22" s="1"/>
  <c r="I81" i="23"/>
  <c r="N81" i="23" s="1"/>
  <c r="I99" i="22" s="1"/>
  <c r="I79" i="23"/>
  <c r="N79" i="23" s="1"/>
  <c r="I97" i="22" s="1"/>
  <c r="M79" i="23"/>
  <c r="H97" i="22" s="1"/>
  <c r="I28" i="23"/>
  <c r="N28" i="23" s="1"/>
  <c r="I35" i="22" s="1"/>
  <c r="M28" i="23"/>
  <c r="H35" i="22" s="1"/>
  <c r="I63" i="23"/>
  <c r="N63" i="23" s="1"/>
  <c r="I81" i="22" s="1"/>
  <c r="M63" i="23"/>
  <c r="H81" i="22" s="1"/>
  <c r="M71" i="23"/>
  <c r="H89" i="22" s="1"/>
  <c r="I71" i="23"/>
  <c r="N71" i="23" s="1"/>
  <c r="I89" i="22" s="1"/>
  <c r="I66" i="23"/>
  <c r="N66" i="23" s="1"/>
  <c r="I84" i="22" s="1"/>
  <c r="M66" i="23"/>
  <c r="H84" i="22" s="1"/>
  <c r="I68" i="23"/>
  <c r="N68" i="23" s="1"/>
  <c r="I86" i="22" s="1"/>
  <c r="M68" i="23"/>
  <c r="H86" i="22" s="1"/>
  <c r="I38" i="23"/>
  <c r="N38" i="23" s="1"/>
  <c r="I49" i="22" s="1"/>
  <c r="M38" i="23"/>
  <c r="H49" i="22" s="1"/>
  <c r="I42" i="23"/>
  <c r="N42" i="23" s="1"/>
  <c r="I53" i="22" s="1"/>
  <c r="M42" i="23"/>
  <c r="H53" i="22" s="1"/>
  <c r="M80" i="23"/>
  <c r="H98" i="22" s="1"/>
  <c r="I80" i="23"/>
  <c r="N80" i="23" s="1"/>
  <c r="I98" i="22" s="1"/>
  <c r="I85" i="23"/>
  <c r="N85" i="23" s="1"/>
  <c r="I103" i="22" s="1"/>
  <c r="M85" i="23"/>
  <c r="H103" i="22" s="1"/>
  <c r="M65" i="23"/>
  <c r="H83" i="22" s="1"/>
  <c r="I65" i="23"/>
  <c r="N65" i="23" s="1"/>
  <c r="I83" i="22" s="1"/>
  <c r="L76" i="23"/>
  <c r="G94" i="22" s="1"/>
  <c r="H76" i="23"/>
  <c r="I77" i="23"/>
  <c r="N77" i="23" s="1"/>
  <c r="I95" i="22" s="1"/>
  <c r="M77" i="23"/>
  <c r="H95" i="22" s="1"/>
  <c r="I78" i="23"/>
  <c r="N78" i="23" s="1"/>
  <c r="I96" i="22" s="1"/>
  <c r="M78" i="23"/>
  <c r="H96" i="22" s="1"/>
  <c r="I74" i="23"/>
  <c r="N74" i="23" s="1"/>
  <c r="I92" i="22" s="1"/>
  <c r="M74" i="23"/>
  <c r="H92" i="22" s="1"/>
  <c r="I73" i="23"/>
  <c r="N73" i="23" s="1"/>
  <c r="I91" i="22" s="1"/>
  <c r="M73" i="23"/>
  <c r="H91" i="22" s="1"/>
  <c r="I75" i="23"/>
  <c r="N75" i="23" s="1"/>
  <c r="I93" i="22" s="1"/>
  <c r="M75" i="23"/>
  <c r="H93" i="22" s="1"/>
  <c r="I36" i="23"/>
  <c r="N36" i="23" s="1"/>
  <c r="I45" i="22" s="1"/>
  <c r="M36" i="23"/>
  <c r="H45" i="22" s="1"/>
  <c r="H41" i="11"/>
  <c r="O41" i="11"/>
  <c r="F41" i="9"/>
  <c r="G68" i="8"/>
  <c r="H67" i="8"/>
  <c r="G40" i="9"/>
  <c r="D38" i="9"/>
  <c r="C39" i="11"/>
  <c r="AM43" i="17"/>
  <c r="C39" i="9"/>
  <c r="I44" i="11"/>
  <c r="P44" i="11"/>
  <c r="AG42" i="12"/>
  <c r="C36" i="9"/>
  <c r="I47" i="11"/>
  <c r="P47" i="11"/>
  <c r="AL42" i="12"/>
  <c r="E27" i="2"/>
  <c r="E29" i="2" s="1"/>
  <c r="E38" i="2" s="1"/>
  <c r="D39" i="11"/>
  <c r="J65" i="18"/>
  <c r="D38" i="11"/>
  <c r="J64" i="18"/>
  <c r="F26" i="2"/>
  <c r="F29" i="2" s="1"/>
  <c r="I46" i="11"/>
  <c r="P46" i="11"/>
  <c r="I45" i="11"/>
  <c r="P45" i="11"/>
  <c r="H120" i="17"/>
  <c r="AL42" i="17"/>
  <c r="H122" i="17"/>
  <c r="J111" i="17"/>
  <c r="K110" i="17"/>
  <c r="J112" i="17"/>
  <c r="AL43" i="12"/>
  <c r="J120" i="12"/>
  <c r="J122" i="12"/>
  <c r="H117" i="12"/>
  <c r="H120" i="12"/>
  <c r="H122" i="12"/>
  <c r="M42" i="11" l="1"/>
  <c r="F42" i="11"/>
  <c r="H43" i="11"/>
  <c r="O43" i="11"/>
  <c r="U101" i="22"/>
  <c r="Z90" i="26"/>
  <c r="Y101" i="22" s="1"/>
  <c r="W90" i="26"/>
  <c r="V77" i="26"/>
  <c r="W88" i="22" s="1"/>
  <c r="AB77" i="26"/>
  <c r="Z88" i="22" s="1"/>
  <c r="Z77" i="26"/>
  <c r="Y88" i="22" s="1"/>
  <c r="W77" i="26"/>
  <c r="R88" i="22"/>
  <c r="Q101" i="22"/>
  <c r="S88" i="22"/>
  <c r="Y90" i="26"/>
  <c r="T101" i="22"/>
  <c r="AA90" i="26"/>
  <c r="Y48" i="26"/>
  <c r="S52" i="22"/>
  <c r="T52" i="22"/>
  <c r="Z48" i="26"/>
  <c r="Y52" i="22" s="1"/>
  <c r="AB90" i="26"/>
  <c r="Z101" i="22" s="1"/>
  <c r="V101" i="22"/>
  <c r="AB48" i="26"/>
  <c r="Z52" i="22" s="1"/>
  <c r="V52" i="22"/>
  <c r="V48" i="26"/>
  <c r="W52" i="22" s="1"/>
  <c r="P52" i="22"/>
  <c r="W48" i="26"/>
  <c r="Q52" i="22"/>
  <c r="U52" i="22"/>
  <c r="AA48" i="26"/>
  <c r="X48" i="26"/>
  <c r="X52" i="22" s="1"/>
  <c r="R52" i="22"/>
  <c r="X90" i="26"/>
  <c r="X101" i="22" s="1"/>
  <c r="R101" i="22"/>
  <c r="P101" i="22"/>
  <c r="Y79" i="26"/>
  <c r="S90" i="22"/>
  <c r="Z78" i="26"/>
  <c r="Y89" i="22" s="1"/>
  <c r="T89" i="22"/>
  <c r="AA78" i="26"/>
  <c r="U89" i="22"/>
  <c r="W78" i="26"/>
  <c r="Q89" i="22"/>
  <c r="V24" i="26"/>
  <c r="W20" i="22" s="1"/>
  <c r="P20" i="22"/>
  <c r="AB79" i="26"/>
  <c r="Z90" i="22" s="1"/>
  <c r="V90" i="22"/>
  <c r="AB78" i="26"/>
  <c r="Z89" i="22" s="1"/>
  <c r="V89" i="22"/>
  <c r="Y24" i="26"/>
  <c r="S20" i="22"/>
  <c r="V78" i="26"/>
  <c r="W89" i="22" s="1"/>
  <c r="P89" i="22"/>
  <c r="Z24" i="26"/>
  <c r="Y20" i="22" s="1"/>
  <c r="T20" i="22"/>
  <c r="AA24" i="26"/>
  <c r="U20" i="22"/>
  <c r="V79" i="26"/>
  <c r="W90" i="22" s="1"/>
  <c r="P90" i="22"/>
  <c r="W24" i="26"/>
  <c r="Q20" i="22"/>
  <c r="AA79" i="26"/>
  <c r="U90" i="22"/>
  <c r="Y78" i="26"/>
  <c r="S89" i="22"/>
  <c r="W79" i="26"/>
  <c r="Q90" i="22"/>
  <c r="X24" i="26"/>
  <c r="X20" i="22" s="1"/>
  <c r="R20" i="22"/>
  <c r="Z79" i="26"/>
  <c r="Y90" i="22" s="1"/>
  <c r="T90" i="22"/>
  <c r="AB24" i="26"/>
  <c r="Z20" i="22" s="1"/>
  <c r="V20" i="22"/>
  <c r="X78" i="26"/>
  <c r="X89" i="22" s="1"/>
  <c r="R89" i="22"/>
  <c r="X79" i="26"/>
  <c r="X90" i="22" s="1"/>
  <c r="R90" i="22"/>
  <c r="AB87" i="26"/>
  <c r="Z98" i="22" s="1"/>
  <c r="V98" i="22"/>
  <c r="W87" i="26"/>
  <c r="Q98" i="22"/>
  <c r="X87" i="26"/>
  <c r="X98" i="22" s="1"/>
  <c r="R98" i="22"/>
  <c r="X86" i="26"/>
  <c r="X97" i="22" s="1"/>
  <c r="R97" i="22"/>
  <c r="AA86" i="26"/>
  <c r="U97" i="22"/>
  <c r="V87" i="26"/>
  <c r="W98" i="22" s="1"/>
  <c r="P98" i="22"/>
  <c r="AA87" i="26"/>
  <c r="U98" i="22"/>
  <c r="V86" i="26"/>
  <c r="W97" i="22" s="1"/>
  <c r="P97" i="22"/>
  <c r="Y86" i="26"/>
  <c r="S97" i="22"/>
  <c r="W86" i="26"/>
  <c r="Q97" i="22"/>
  <c r="Z87" i="26"/>
  <c r="Y98" i="22" s="1"/>
  <c r="T98" i="22"/>
  <c r="Z86" i="26"/>
  <c r="Y97" i="22" s="1"/>
  <c r="T97" i="22"/>
  <c r="Y87" i="26"/>
  <c r="S98" i="22"/>
  <c r="AB86" i="26"/>
  <c r="Z97" i="22" s="1"/>
  <c r="V97" i="22"/>
  <c r="U56" i="22"/>
  <c r="U57" i="22"/>
  <c r="I76" i="23"/>
  <c r="N76" i="23" s="1"/>
  <c r="I94" i="22" s="1"/>
  <c r="M76" i="23"/>
  <c r="H94" i="22" s="1"/>
  <c r="C40" i="11"/>
  <c r="E40" i="11" s="1"/>
  <c r="D39" i="9"/>
  <c r="H40" i="9"/>
  <c r="J67" i="8" s="1"/>
  <c r="I67" i="8"/>
  <c r="E39" i="11"/>
  <c r="M39" i="11" s="1"/>
  <c r="E38" i="9"/>
  <c r="F65" i="8"/>
  <c r="F65" i="18"/>
  <c r="K65" i="18" s="1"/>
  <c r="G41" i="9"/>
  <c r="H68" i="8"/>
  <c r="I41" i="11"/>
  <c r="P41" i="11"/>
  <c r="C37" i="11"/>
  <c r="E37" i="11" s="1"/>
  <c r="D36" i="9"/>
  <c r="C37" i="9"/>
  <c r="AM42" i="12"/>
  <c r="I74" i="18"/>
  <c r="L74" i="18" s="1"/>
  <c r="J30" i="20" s="1"/>
  <c r="Q74" i="8"/>
  <c r="Q75" i="8"/>
  <c r="I75" i="18"/>
  <c r="L75" i="18" s="1"/>
  <c r="J31" i="20" s="1"/>
  <c r="J44" i="11"/>
  <c r="Q44" i="11"/>
  <c r="R74" i="8" s="1"/>
  <c r="J47" i="11"/>
  <c r="Q47" i="11"/>
  <c r="R77" i="8" s="1"/>
  <c r="J45" i="11"/>
  <c r="Q45" i="11"/>
  <c r="R75" i="8" s="1"/>
  <c r="I76" i="18"/>
  <c r="L76" i="18" s="1"/>
  <c r="J32" i="20" s="1"/>
  <c r="Q76" i="8"/>
  <c r="J46" i="11"/>
  <c r="Q46" i="11"/>
  <c r="R76" i="8" s="1"/>
  <c r="Q77" i="8"/>
  <c r="I77" i="18"/>
  <c r="L77" i="18" s="1"/>
  <c r="J33" i="20" s="1"/>
  <c r="J115" i="17"/>
  <c r="J117" i="17"/>
  <c r="P43" i="11" l="1"/>
  <c r="I43" i="11"/>
  <c r="N42" i="11"/>
  <c r="G42" i="11"/>
  <c r="V56" i="22"/>
  <c r="V57" i="22"/>
  <c r="F39" i="11"/>
  <c r="N39" i="11" s="1"/>
  <c r="F38" i="9"/>
  <c r="G65" i="8"/>
  <c r="I67" i="18"/>
  <c r="L67" i="18" s="1"/>
  <c r="Q67" i="8"/>
  <c r="J41" i="11"/>
  <c r="Q41" i="11"/>
  <c r="R67" i="8" s="1"/>
  <c r="E39" i="9"/>
  <c r="F66" i="18"/>
  <c r="K66" i="18" s="1"/>
  <c r="F66" i="8"/>
  <c r="H41" i="9"/>
  <c r="J68" i="8" s="1"/>
  <c r="I68" i="8"/>
  <c r="F40" i="11"/>
  <c r="M40" i="11"/>
  <c r="K45" i="11"/>
  <c r="R45" i="11"/>
  <c r="S75" i="8" s="1"/>
  <c r="K46" i="11"/>
  <c r="R46" i="11"/>
  <c r="S76" i="8" s="1"/>
  <c r="K47" i="11"/>
  <c r="R47" i="11"/>
  <c r="S77" i="8" s="1"/>
  <c r="C38" i="11"/>
  <c r="E38" i="11" s="1"/>
  <c r="D37" i="9"/>
  <c r="E88" i="23" s="1"/>
  <c r="E36" i="9"/>
  <c r="F63" i="18"/>
  <c r="K63" i="18" s="1"/>
  <c r="F63" i="8"/>
  <c r="K44" i="11"/>
  <c r="R44" i="11"/>
  <c r="S74" i="8" s="1"/>
  <c r="M37" i="11"/>
  <c r="F37" i="11"/>
  <c r="J118" i="17"/>
  <c r="J122" i="17"/>
  <c r="E89" i="23" l="1"/>
  <c r="E90" i="23"/>
  <c r="F88" i="23"/>
  <c r="J88" i="23"/>
  <c r="E87" i="23"/>
  <c r="H42" i="11"/>
  <c r="O42" i="11"/>
  <c r="J43" i="11"/>
  <c r="Q43" i="11"/>
  <c r="R73" i="8" s="1"/>
  <c r="I73" i="18"/>
  <c r="L73" i="18" s="1"/>
  <c r="J29" i="20" s="1"/>
  <c r="Q73" i="8"/>
  <c r="G39" i="11"/>
  <c r="O39" i="11" s="1"/>
  <c r="G38" i="9"/>
  <c r="H65" i="8"/>
  <c r="R41" i="11"/>
  <c r="S67" i="8" s="1"/>
  <c r="K41" i="11"/>
  <c r="F39" i="9"/>
  <c r="G66" i="8"/>
  <c r="G40" i="11"/>
  <c r="N40" i="11"/>
  <c r="F36" i="9"/>
  <c r="G63" i="8"/>
  <c r="L44" i="11"/>
  <c r="T44" i="11" s="1"/>
  <c r="U74" i="8" s="1"/>
  <c r="S44" i="11"/>
  <c r="T74" i="8" s="1"/>
  <c r="F38" i="11"/>
  <c r="M38" i="11"/>
  <c r="L46" i="11"/>
  <c r="T46" i="11" s="1"/>
  <c r="U76" i="8" s="1"/>
  <c r="S46" i="11"/>
  <c r="T76" i="8" s="1"/>
  <c r="E37" i="9"/>
  <c r="F64" i="18"/>
  <c r="K64" i="18" s="1"/>
  <c r="F64" i="8"/>
  <c r="L47" i="11"/>
  <c r="T47" i="11" s="1"/>
  <c r="U77" i="8" s="1"/>
  <c r="S47" i="11"/>
  <c r="T77" i="8" s="1"/>
  <c r="L45" i="11"/>
  <c r="T45" i="11" s="1"/>
  <c r="U75" i="8" s="1"/>
  <c r="S45" i="11"/>
  <c r="T75" i="8" s="1"/>
  <c r="N37" i="11"/>
  <c r="G37" i="11"/>
  <c r="J120" i="17"/>
  <c r="H39" i="11" l="1"/>
  <c r="P42" i="11"/>
  <c r="I42" i="11"/>
  <c r="K43" i="11"/>
  <c r="L43" i="11" s="1"/>
  <c r="R43" i="11"/>
  <c r="F90" i="23"/>
  <c r="J90" i="23"/>
  <c r="F87" i="23"/>
  <c r="J87" i="23"/>
  <c r="G88" i="23"/>
  <c r="K88" i="23"/>
  <c r="F108" i="22" s="1"/>
  <c r="J89" i="23"/>
  <c r="F89" i="23"/>
  <c r="O40" i="11"/>
  <c r="H40" i="11"/>
  <c r="G39" i="9"/>
  <c r="H66" i="8"/>
  <c r="L41" i="11"/>
  <c r="T41" i="11" s="1"/>
  <c r="U67" i="8" s="1"/>
  <c r="S41" i="11"/>
  <c r="T67" i="8" s="1"/>
  <c r="H38" i="9"/>
  <c r="J65" i="8" s="1"/>
  <c r="I65" i="8"/>
  <c r="G38" i="11"/>
  <c r="N38" i="11"/>
  <c r="I39" i="11"/>
  <c r="P39" i="11"/>
  <c r="H37" i="11"/>
  <c r="O37" i="11"/>
  <c r="F37" i="9"/>
  <c r="G64" i="8"/>
  <c r="G36" i="9"/>
  <c r="H63" i="8"/>
  <c r="G90" i="23" l="1"/>
  <c r="K90" i="23"/>
  <c r="F110" i="22" s="1"/>
  <c r="S73" i="8"/>
  <c r="S43" i="11"/>
  <c r="K87" i="23"/>
  <c r="F107" i="22" s="1"/>
  <c r="G87" i="23"/>
  <c r="J42" i="11"/>
  <c r="Q42" i="11"/>
  <c r="R68" i="8" s="1"/>
  <c r="I68" i="18"/>
  <c r="L68" i="18" s="1"/>
  <c r="J27" i="20" s="1"/>
  <c r="Q68" i="8"/>
  <c r="L88" i="23"/>
  <c r="G108" i="22" s="1"/>
  <c r="H88" i="23"/>
  <c r="G89" i="23"/>
  <c r="K89" i="23"/>
  <c r="F109" i="22" s="1"/>
  <c r="H39" i="9"/>
  <c r="J66" i="8" s="1"/>
  <c r="I66" i="8"/>
  <c r="I40" i="11"/>
  <c r="P40" i="11"/>
  <c r="I37" i="11"/>
  <c r="P37" i="11"/>
  <c r="Q65" i="8"/>
  <c r="I65" i="18"/>
  <c r="L65" i="18" s="1"/>
  <c r="J39" i="11"/>
  <c r="Q39" i="11"/>
  <c r="R65" i="8" s="1"/>
  <c r="H36" i="9"/>
  <c r="J63" i="8" s="1"/>
  <c r="I63" i="8"/>
  <c r="H38" i="11"/>
  <c r="O38" i="11"/>
  <c r="G37" i="9"/>
  <c r="H64" i="8"/>
  <c r="K42" i="11" l="1"/>
  <c r="L42" i="11" s="1"/>
  <c r="R42" i="11"/>
  <c r="H87" i="23"/>
  <c r="L87" i="23"/>
  <c r="G107" i="22" s="1"/>
  <c r="M88" i="23"/>
  <c r="H108" i="22" s="1"/>
  <c r="I88" i="23"/>
  <c r="N88" i="23" s="1"/>
  <c r="I108" i="22" s="1"/>
  <c r="T73" i="8"/>
  <c r="T43" i="11"/>
  <c r="U73" i="8" s="1"/>
  <c r="H89" i="23"/>
  <c r="L89" i="23"/>
  <c r="G109" i="22" s="1"/>
  <c r="H90" i="23"/>
  <c r="L90" i="23"/>
  <c r="G110" i="22" s="1"/>
  <c r="I66" i="18"/>
  <c r="L66" i="18" s="1"/>
  <c r="J26" i="20" s="1"/>
  <c r="Q66" i="8"/>
  <c r="J40" i="11"/>
  <c r="Q40" i="11"/>
  <c r="R66" i="8" s="1"/>
  <c r="I38" i="11"/>
  <c r="P38" i="11"/>
  <c r="K39" i="11"/>
  <c r="R39" i="11"/>
  <c r="S65" i="8" s="1"/>
  <c r="Q63" i="8"/>
  <c r="I63" i="18"/>
  <c r="L63" i="18" s="1"/>
  <c r="H37" i="9"/>
  <c r="J64" i="8" s="1"/>
  <c r="I64" i="8"/>
  <c r="J37" i="11"/>
  <c r="Q37" i="11"/>
  <c r="R63" i="8" s="1"/>
  <c r="I90" i="23" l="1"/>
  <c r="N90" i="23" s="1"/>
  <c r="I110" i="22" s="1"/>
  <c r="M90" i="23"/>
  <c r="H110" i="22" s="1"/>
  <c r="I87" i="23"/>
  <c r="N87" i="23" s="1"/>
  <c r="I107" i="22" s="1"/>
  <c r="M87" i="23"/>
  <c r="H107" i="22" s="1"/>
  <c r="I89" i="23"/>
  <c r="N89" i="23" s="1"/>
  <c r="I109" i="22" s="1"/>
  <c r="M89" i="23"/>
  <c r="H109" i="22" s="1"/>
  <c r="S42" i="11"/>
  <c r="S68" i="8"/>
  <c r="K40" i="11"/>
  <c r="L40" i="11" s="1"/>
  <c r="R40" i="11"/>
  <c r="K37" i="11"/>
  <c r="R37" i="11"/>
  <c r="S63" i="8" s="1"/>
  <c r="L39" i="11"/>
  <c r="T39" i="11" s="1"/>
  <c r="U65" i="8" s="1"/>
  <c r="S39" i="11"/>
  <c r="T65" i="8" s="1"/>
  <c r="Q64" i="8"/>
  <c r="I64" i="18"/>
  <c r="L64" i="18" s="1"/>
  <c r="J25" i="20" s="1"/>
  <c r="J38" i="11"/>
  <c r="Q38" i="11"/>
  <c r="R64" i="8" s="1"/>
  <c r="T68" i="8" l="1"/>
  <c r="T42" i="11"/>
  <c r="U68" i="8" s="1"/>
  <c r="S40" i="11"/>
  <c r="S66" i="8"/>
  <c r="K38" i="11"/>
  <c r="L38" i="11" s="1"/>
  <c r="R38" i="11"/>
  <c r="L37" i="11"/>
  <c r="T37" i="11" s="1"/>
  <c r="U63" i="8" s="1"/>
  <c r="S37" i="11"/>
  <c r="T63" i="8" s="1"/>
  <c r="T40" i="11" l="1"/>
  <c r="U66" i="8" s="1"/>
  <c r="T66" i="8"/>
  <c r="S38" i="11"/>
  <c r="S64" i="8"/>
  <c r="T38" i="11" l="1"/>
  <c r="U64" i="8" s="1"/>
  <c r="T64" i="8"/>
  <c r="U22" i="8" l="1"/>
  <c r="T22" i="8"/>
  <c r="S22" i="8"/>
  <c r="R22" i="8"/>
  <c r="Q22" i="8"/>
  <c r="R35" i="11"/>
  <c r="Q35" i="11"/>
  <c r="P35" i="11"/>
  <c r="I46" i="18" s="1"/>
  <c r="O35" i="11"/>
  <c r="N35" i="11"/>
  <c r="M35" i="11"/>
  <c r="R34" i="11"/>
  <c r="Q34" i="11"/>
  <c r="P34" i="11"/>
  <c r="I30" i="18" s="1"/>
  <c r="O34" i="11"/>
  <c r="N34" i="11"/>
  <c r="M34" i="11"/>
  <c r="R33" i="11"/>
  <c r="Q33" i="11"/>
  <c r="P33" i="11"/>
  <c r="I35" i="18" s="1"/>
  <c r="O33" i="11"/>
  <c r="N33" i="11"/>
  <c r="M33" i="11"/>
  <c r="R32" i="11"/>
  <c r="Q32" i="11"/>
  <c r="P32" i="11"/>
  <c r="I21" i="18" s="1"/>
  <c r="O32" i="11"/>
  <c r="R31" i="11"/>
  <c r="Q31" i="11"/>
  <c r="P31" i="11"/>
  <c r="I12" i="18" s="1"/>
  <c r="O31" i="11"/>
  <c r="N31" i="11"/>
  <c r="M31" i="11"/>
  <c r="R29" i="11"/>
  <c r="Q29" i="11"/>
  <c r="P29" i="11"/>
  <c r="I25" i="18" s="1"/>
  <c r="O29" i="11"/>
  <c r="N29" i="11"/>
  <c r="M29" i="11"/>
  <c r="R28" i="11"/>
  <c r="Q28" i="11"/>
  <c r="P28" i="11"/>
  <c r="I10" i="18" s="1"/>
  <c r="O28" i="11"/>
  <c r="N28" i="11"/>
  <c r="M28" i="11"/>
  <c r="R27" i="11"/>
  <c r="Q27" i="11"/>
  <c r="P27" i="11"/>
  <c r="I8" i="18" s="1"/>
  <c r="O27" i="11"/>
  <c r="N27" i="11"/>
  <c r="M27" i="11"/>
  <c r="R26" i="11"/>
  <c r="Q26" i="11"/>
  <c r="P26" i="11"/>
  <c r="I9" i="18" s="1"/>
  <c r="O26" i="11"/>
  <c r="N26" i="11"/>
  <c r="M26" i="11"/>
  <c r="R25" i="11"/>
  <c r="Q25" i="11"/>
  <c r="P25" i="11"/>
  <c r="I7" i="18" s="1"/>
  <c r="O25" i="11"/>
  <c r="N25" i="11"/>
  <c r="M25" i="11"/>
  <c r="R24" i="11"/>
  <c r="Q24" i="11"/>
  <c r="P24" i="11"/>
  <c r="I34" i="18" s="1"/>
  <c r="O24" i="11"/>
  <c r="N24" i="11"/>
  <c r="M24" i="11"/>
  <c r="R23" i="11"/>
  <c r="Q23" i="11"/>
  <c r="P23" i="11"/>
  <c r="I33" i="18" s="1"/>
  <c r="O23" i="11"/>
  <c r="N23" i="11"/>
  <c r="M23" i="11"/>
  <c r="R22" i="11"/>
  <c r="Q22" i="11"/>
  <c r="P22" i="11"/>
  <c r="I45" i="18" s="1"/>
  <c r="O22" i="11"/>
  <c r="N22" i="11"/>
  <c r="M22" i="11"/>
  <c r="R21" i="11"/>
  <c r="Q21" i="11"/>
  <c r="P21" i="11"/>
  <c r="I44" i="18" s="1"/>
  <c r="O21" i="11"/>
  <c r="N21" i="11"/>
  <c r="M21" i="11"/>
  <c r="R20" i="11"/>
  <c r="Q20" i="11"/>
  <c r="P20" i="11"/>
  <c r="I58" i="18" s="1"/>
  <c r="O20" i="11"/>
  <c r="N20" i="11"/>
  <c r="M20" i="11"/>
  <c r="R19" i="11"/>
  <c r="Q19" i="11"/>
  <c r="P19" i="11"/>
  <c r="I57" i="18" s="1"/>
  <c r="O19" i="11"/>
  <c r="N19" i="11"/>
  <c r="M19" i="11"/>
  <c r="R18" i="11"/>
  <c r="Q18" i="11"/>
  <c r="P18" i="11"/>
  <c r="I56" i="18" s="1"/>
  <c r="O18" i="11"/>
  <c r="N18" i="11"/>
  <c r="M18" i="11"/>
  <c r="R17" i="11"/>
  <c r="Q17" i="11"/>
  <c r="P17" i="11"/>
  <c r="I55" i="18" s="1"/>
  <c r="O17" i="11"/>
  <c r="N17" i="11"/>
  <c r="M17" i="11"/>
  <c r="R16" i="11"/>
  <c r="Q16" i="11"/>
  <c r="P16" i="11"/>
  <c r="I54" i="18" s="1"/>
  <c r="O16" i="11"/>
  <c r="N16" i="11"/>
  <c r="M16" i="11"/>
  <c r="R15" i="11"/>
  <c r="Q15" i="11"/>
  <c r="P15" i="11"/>
  <c r="I53" i="18" s="1"/>
  <c r="O15" i="11"/>
  <c r="N15" i="11"/>
  <c r="M15" i="11"/>
  <c r="R14" i="11"/>
  <c r="Q14" i="11"/>
  <c r="P14" i="11"/>
  <c r="I52" i="18" s="1"/>
  <c r="O14" i="11"/>
  <c r="N14" i="11"/>
  <c r="M14" i="11"/>
  <c r="R13" i="11"/>
  <c r="Q13" i="11"/>
  <c r="P13" i="11"/>
  <c r="I51" i="18" s="1"/>
  <c r="O13" i="11"/>
  <c r="N13" i="11"/>
  <c r="M13" i="11"/>
  <c r="R12" i="11"/>
  <c r="Q12" i="11"/>
  <c r="P12" i="11"/>
  <c r="I50" i="18" s="1"/>
  <c r="O12" i="11"/>
  <c r="N12" i="11"/>
  <c r="M12" i="11"/>
  <c r="R11" i="11"/>
  <c r="Q11" i="11"/>
  <c r="P11" i="11"/>
  <c r="I49" i="18" s="1"/>
  <c r="O11" i="11"/>
  <c r="N11" i="11"/>
  <c r="M11" i="11"/>
  <c r="R10" i="11"/>
  <c r="Q10" i="11"/>
  <c r="P10" i="11"/>
  <c r="I19" i="18" s="1"/>
  <c r="O10" i="11"/>
  <c r="N10" i="11"/>
  <c r="M10" i="11"/>
  <c r="R9" i="11"/>
  <c r="Q9" i="11"/>
  <c r="P9" i="11"/>
  <c r="I18" i="18" s="1"/>
  <c r="O9" i="11"/>
  <c r="N9" i="11"/>
  <c r="M9" i="11"/>
  <c r="R8" i="11"/>
  <c r="Q8" i="11"/>
  <c r="P8" i="11"/>
  <c r="I20" i="18" s="1"/>
  <c r="O8" i="11"/>
  <c r="N8" i="11"/>
  <c r="M8" i="11"/>
  <c r="R7" i="11"/>
  <c r="Q7" i="11"/>
  <c r="P7" i="11"/>
  <c r="I17" i="18" s="1"/>
  <c r="O7" i="11"/>
  <c r="N7" i="11"/>
  <c r="M7" i="11"/>
  <c r="R6" i="11"/>
  <c r="Q6" i="11"/>
  <c r="P6" i="11"/>
  <c r="I16" i="18" s="1"/>
  <c r="O6" i="11"/>
  <c r="N6" i="11"/>
  <c r="M6" i="11"/>
  <c r="R5" i="11"/>
  <c r="Q5" i="11"/>
  <c r="P5" i="11"/>
  <c r="I29" i="18" s="1"/>
  <c r="O5" i="11"/>
  <c r="N5" i="11"/>
  <c r="M5" i="11"/>
  <c r="AY18" i="4"/>
  <c r="AY19" i="4"/>
  <c r="AY20" i="4"/>
  <c r="AY21" i="4"/>
  <c r="AY22" i="4"/>
  <c r="AY23" i="4"/>
  <c r="AY24" i="4"/>
  <c r="AY25" i="4"/>
  <c r="AY26" i="4"/>
  <c r="AY27" i="4"/>
  <c r="AY28" i="4"/>
  <c r="AY29" i="4"/>
  <c r="AY30" i="4"/>
  <c r="AY31" i="4"/>
  <c r="AY32" i="4"/>
  <c r="AY33" i="4"/>
  <c r="AY34" i="4"/>
  <c r="AY35" i="4"/>
  <c r="AY36" i="4"/>
  <c r="AY37" i="4"/>
  <c r="AY38" i="4"/>
  <c r="AY39" i="4"/>
  <c r="AY40" i="4"/>
  <c r="AY41" i="4"/>
  <c r="AY17" i="4"/>
  <c r="B35" i="11"/>
  <c r="B34" i="11"/>
  <c r="B33" i="11"/>
  <c r="B32" i="11"/>
  <c r="B31" i="11"/>
  <c r="B30" i="11"/>
  <c r="B29" i="11"/>
  <c r="B28" i="11"/>
  <c r="B27" i="11"/>
  <c r="B26" i="11"/>
  <c r="B25" i="11"/>
  <c r="B24" i="11"/>
  <c r="B23" i="11"/>
  <c r="B22" i="11"/>
  <c r="B21" i="11"/>
  <c r="B20" i="11"/>
  <c r="B19" i="11"/>
  <c r="B18" i="11"/>
  <c r="B17" i="11"/>
  <c r="B16" i="11"/>
  <c r="B15" i="11"/>
  <c r="B14" i="11"/>
  <c r="B13" i="11"/>
  <c r="B12" i="11"/>
  <c r="B11" i="11"/>
  <c r="B10" i="11"/>
  <c r="B9" i="11"/>
  <c r="B8" i="11"/>
  <c r="B7" i="11"/>
  <c r="B6" i="11"/>
  <c r="B5" i="11"/>
  <c r="P22" i="8"/>
  <c r="P6" i="10"/>
  <c r="P7" i="10"/>
  <c r="P8" i="10"/>
  <c r="P9" i="10"/>
  <c r="H18" i="18" s="1"/>
  <c r="P10" i="10"/>
  <c r="H19" i="18" s="1"/>
  <c r="P11" i="10"/>
  <c r="P12" i="10"/>
  <c r="P13" i="10"/>
  <c r="P14" i="10"/>
  <c r="P15" i="10"/>
  <c r="P16" i="10"/>
  <c r="P17" i="10"/>
  <c r="P18" i="10"/>
  <c r="P19" i="10"/>
  <c r="P20" i="10"/>
  <c r="P21" i="10"/>
  <c r="P22" i="10"/>
  <c r="P23" i="10"/>
  <c r="P24" i="10"/>
  <c r="P25" i="10"/>
  <c r="P26" i="10"/>
  <c r="P27" i="10"/>
  <c r="P28" i="10"/>
  <c r="P29" i="10"/>
  <c r="P30" i="10"/>
  <c r="P5" i="10"/>
  <c r="O22" i="8"/>
  <c r="N22" i="8"/>
  <c r="M22" i="8"/>
  <c r="L22" i="8"/>
  <c r="K22" i="8"/>
  <c r="B6" i="10"/>
  <c r="B7" i="10"/>
  <c r="B8" i="10"/>
  <c r="B9" i="10"/>
  <c r="B10" i="10"/>
  <c r="B11" i="10"/>
  <c r="B12" i="10"/>
  <c r="B13" i="10"/>
  <c r="B14" i="10"/>
  <c r="B15" i="10"/>
  <c r="B16" i="10"/>
  <c r="B17" i="10"/>
  <c r="B18" i="10"/>
  <c r="B19" i="10"/>
  <c r="B20" i="10"/>
  <c r="B21" i="10"/>
  <c r="B22" i="10"/>
  <c r="B23" i="10"/>
  <c r="B24" i="10"/>
  <c r="B25" i="10"/>
  <c r="B26" i="10"/>
  <c r="B27" i="10"/>
  <c r="B28" i="10"/>
  <c r="B29" i="10"/>
  <c r="B30" i="10"/>
  <c r="B31" i="10"/>
  <c r="B32" i="10"/>
  <c r="B33" i="10"/>
  <c r="B34" i="10"/>
  <c r="B35" i="10"/>
  <c r="B5" i="10"/>
  <c r="O30" i="10"/>
  <c r="N30" i="10"/>
  <c r="M30" i="10"/>
  <c r="L30" i="10"/>
  <c r="K30" i="10"/>
  <c r="G39" i="18" s="1"/>
  <c r="J30" i="10"/>
  <c r="O29" i="10"/>
  <c r="N29" i="10"/>
  <c r="M29" i="10"/>
  <c r="L29" i="10"/>
  <c r="K29" i="10"/>
  <c r="G25" i="18" s="1"/>
  <c r="J29" i="10"/>
  <c r="O27" i="10"/>
  <c r="N27" i="10"/>
  <c r="M27" i="10"/>
  <c r="L27" i="10"/>
  <c r="K27" i="10"/>
  <c r="G8" i="18" s="1"/>
  <c r="J27" i="10"/>
  <c r="O26" i="10"/>
  <c r="N26" i="10"/>
  <c r="M26" i="10"/>
  <c r="L26" i="10"/>
  <c r="K26" i="10"/>
  <c r="G9" i="18" s="1"/>
  <c r="J26" i="10"/>
  <c r="O25" i="10"/>
  <c r="N25" i="10"/>
  <c r="M25" i="10"/>
  <c r="L25" i="10"/>
  <c r="K25" i="10"/>
  <c r="G7" i="18" s="1"/>
  <c r="J25" i="10"/>
  <c r="O24" i="10"/>
  <c r="N24" i="10"/>
  <c r="M24" i="10"/>
  <c r="L24" i="10"/>
  <c r="K24" i="10"/>
  <c r="G34" i="18" s="1"/>
  <c r="J24" i="10"/>
  <c r="O23" i="10"/>
  <c r="N23" i="10"/>
  <c r="M23" i="10"/>
  <c r="L23" i="10"/>
  <c r="K23" i="10"/>
  <c r="G33" i="18" s="1"/>
  <c r="J23" i="10"/>
  <c r="O22" i="10"/>
  <c r="N22" i="10"/>
  <c r="M22" i="10"/>
  <c r="L22" i="10"/>
  <c r="K22" i="10"/>
  <c r="G45" i="18" s="1"/>
  <c r="J22" i="10"/>
  <c r="O21" i="10"/>
  <c r="N21" i="10"/>
  <c r="M21" i="10"/>
  <c r="L21" i="10"/>
  <c r="K21" i="10"/>
  <c r="G44" i="18" s="1"/>
  <c r="J21" i="10"/>
  <c r="O20" i="10"/>
  <c r="N20" i="10"/>
  <c r="M20" i="10"/>
  <c r="L20" i="10"/>
  <c r="K20" i="10"/>
  <c r="G58" i="18" s="1"/>
  <c r="J20" i="10"/>
  <c r="O19" i="10"/>
  <c r="N19" i="10"/>
  <c r="M19" i="10"/>
  <c r="L19" i="10"/>
  <c r="K19" i="10"/>
  <c r="G57" i="18" s="1"/>
  <c r="J19" i="10"/>
  <c r="O18" i="10"/>
  <c r="N18" i="10"/>
  <c r="M18" i="10"/>
  <c r="L18" i="10"/>
  <c r="K18" i="10"/>
  <c r="G56" i="18" s="1"/>
  <c r="J18" i="10"/>
  <c r="O17" i="10"/>
  <c r="N17" i="10"/>
  <c r="M17" i="10"/>
  <c r="L17" i="10"/>
  <c r="K17" i="10"/>
  <c r="G55" i="18" s="1"/>
  <c r="J17" i="10"/>
  <c r="O16" i="10"/>
  <c r="N16" i="10"/>
  <c r="M16" i="10"/>
  <c r="L16" i="10"/>
  <c r="K16" i="10"/>
  <c r="G54" i="18" s="1"/>
  <c r="J16" i="10"/>
  <c r="O15" i="10"/>
  <c r="N15" i="10"/>
  <c r="M15" i="10"/>
  <c r="L15" i="10"/>
  <c r="K15" i="10"/>
  <c r="G53" i="18" s="1"/>
  <c r="J15" i="10"/>
  <c r="O14" i="10"/>
  <c r="N14" i="10"/>
  <c r="M14" i="10"/>
  <c r="L14" i="10"/>
  <c r="K14" i="10"/>
  <c r="G52" i="18" s="1"/>
  <c r="J14" i="10"/>
  <c r="O13" i="10"/>
  <c r="N13" i="10"/>
  <c r="M13" i="10"/>
  <c r="L13" i="10"/>
  <c r="K13" i="10"/>
  <c r="G51" i="18" s="1"/>
  <c r="J13" i="10"/>
  <c r="O12" i="10"/>
  <c r="N12" i="10"/>
  <c r="M12" i="10"/>
  <c r="L12" i="10"/>
  <c r="K12" i="10"/>
  <c r="G50" i="18" s="1"/>
  <c r="J12" i="10"/>
  <c r="O11" i="10"/>
  <c r="N11" i="10"/>
  <c r="M11" i="10"/>
  <c r="L11" i="10"/>
  <c r="K11" i="10"/>
  <c r="G49" i="18" s="1"/>
  <c r="J11" i="10"/>
  <c r="O10" i="10"/>
  <c r="N10" i="10"/>
  <c r="M10" i="10"/>
  <c r="L10" i="10"/>
  <c r="K10" i="10"/>
  <c r="G19" i="18" s="1"/>
  <c r="O9" i="10"/>
  <c r="N9" i="10"/>
  <c r="M9" i="10"/>
  <c r="L9" i="10"/>
  <c r="K9" i="10"/>
  <c r="G18" i="18" s="1"/>
  <c r="J9" i="10"/>
  <c r="J8" i="10"/>
  <c r="O7" i="10"/>
  <c r="N7" i="10"/>
  <c r="M7" i="10"/>
  <c r="L7" i="10"/>
  <c r="K7" i="10"/>
  <c r="G17" i="18" s="1"/>
  <c r="J7" i="10"/>
  <c r="O6" i="10"/>
  <c r="N6" i="10"/>
  <c r="M6" i="10"/>
  <c r="L6" i="10"/>
  <c r="K6" i="10"/>
  <c r="G16" i="18" s="1"/>
  <c r="J6" i="10"/>
  <c r="O5" i="10"/>
  <c r="N5" i="10"/>
  <c r="M5" i="10"/>
  <c r="L5" i="10"/>
  <c r="K5" i="10"/>
  <c r="G29" i="18" s="1"/>
  <c r="J5" i="10"/>
  <c r="H8" i="18" l="1"/>
  <c r="C7" i="25"/>
  <c r="H53" i="18"/>
  <c r="L53" i="18" s="1"/>
  <c r="J19" i="20" s="1"/>
  <c r="C55" i="25"/>
  <c r="H9" i="18"/>
  <c r="L9" i="18" s="1"/>
  <c r="C9" i="25"/>
  <c r="H52" i="18"/>
  <c r="L52" i="18" s="1"/>
  <c r="J18" i="20" s="1"/>
  <c r="C54" i="25"/>
  <c r="H29" i="18"/>
  <c r="L29" i="18" s="1"/>
  <c r="C26" i="25"/>
  <c r="H7" i="18"/>
  <c r="L7" i="18" s="1"/>
  <c r="C6" i="25"/>
  <c r="O7" i="22" s="1"/>
  <c r="H51" i="18"/>
  <c r="L51" i="18" s="1"/>
  <c r="J17" i="20" s="1"/>
  <c r="C53" i="25"/>
  <c r="H44" i="18"/>
  <c r="L44" i="18" s="1"/>
  <c r="C45" i="25"/>
  <c r="H33" i="18"/>
  <c r="L33" i="18" s="1"/>
  <c r="C31" i="25"/>
  <c r="H45" i="18"/>
  <c r="L45" i="18" s="1"/>
  <c r="C47" i="25"/>
  <c r="H58" i="18"/>
  <c r="L58" i="18" s="1"/>
  <c r="J24" i="20" s="1"/>
  <c r="C60" i="25"/>
  <c r="H20" i="18"/>
  <c r="C17" i="25"/>
  <c r="O20" i="22" s="1"/>
  <c r="H57" i="18"/>
  <c r="L57" i="18" s="1"/>
  <c r="J23" i="20" s="1"/>
  <c r="C59" i="25"/>
  <c r="H17" i="18"/>
  <c r="L17" i="18" s="1"/>
  <c r="C16" i="25"/>
  <c r="H49" i="18"/>
  <c r="L49" i="18" s="1"/>
  <c r="C51" i="25"/>
  <c r="O69" i="22" s="1"/>
  <c r="H39" i="18"/>
  <c r="C43" i="25"/>
  <c r="O56" i="22" s="1"/>
  <c r="H56" i="18"/>
  <c r="L56" i="18" s="1"/>
  <c r="J22" i="20" s="1"/>
  <c r="C58" i="25"/>
  <c r="H16" i="18"/>
  <c r="L16" i="18" s="1"/>
  <c r="C15" i="25"/>
  <c r="O18" i="22" s="1"/>
  <c r="H34" i="18"/>
  <c r="L34" i="18" s="1"/>
  <c r="C32" i="25"/>
  <c r="H50" i="18"/>
  <c r="L50" i="18" s="1"/>
  <c r="C52" i="25"/>
  <c r="H25" i="18"/>
  <c r="L25" i="18" s="1"/>
  <c r="J8" i="20" s="1"/>
  <c r="C24" i="25"/>
  <c r="H55" i="18"/>
  <c r="L55" i="18" s="1"/>
  <c r="J21" i="20" s="1"/>
  <c r="C57" i="25"/>
  <c r="H10" i="18"/>
  <c r="C14" i="25"/>
  <c r="O15" i="22" s="1"/>
  <c r="H54" i="18"/>
  <c r="L54" i="18" s="1"/>
  <c r="J20" i="20" s="1"/>
  <c r="C56" i="25"/>
  <c r="L8" i="18"/>
  <c r="L18" i="18"/>
  <c r="L19" i="18"/>
  <c r="R46" i="8"/>
  <c r="S46" i="8"/>
  <c r="Q46" i="8"/>
  <c r="Q49" i="8"/>
  <c r="Q52" i="8"/>
  <c r="Q55" i="8"/>
  <c r="Q58" i="8"/>
  <c r="Q21" i="8"/>
  <c r="Q53" i="8"/>
  <c r="S50" i="8"/>
  <c r="S53" i="8"/>
  <c r="S56" i="8"/>
  <c r="S44" i="8"/>
  <c r="R49" i="8"/>
  <c r="R52" i="8"/>
  <c r="R55" i="8"/>
  <c r="R58" i="8"/>
  <c r="R21" i="8"/>
  <c r="R50" i="8"/>
  <c r="S49" i="8"/>
  <c r="S52" i="8"/>
  <c r="S55" i="8"/>
  <c r="S58" i="8"/>
  <c r="S21" i="8"/>
  <c r="Q56" i="8"/>
  <c r="Q44" i="8"/>
  <c r="R53" i="8"/>
  <c r="R44" i="8"/>
  <c r="S54" i="8"/>
  <c r="S45" i="8"/>
  <c r="Q51" i="8"/>
  <c r="Q54" i="8"/>
  <c r="Q57" i="8"/>
  <c r="Q45" i="8"/>
  <c r="S51" i="8"/>
  <c r="S57" i="8"/>
  <c r="Q50" i="8"/>
  <c r="R56" i="8"/>
  <c r="R51" i="8"/>
  <c r="R54" i="8"/>
  <c r="R57" i="8"/>
  <c r="R45" i="8"/>
  <c r="N51" i="8"/>
  <c r="O53" i="8"/>
  <c r="P44" i="8"/>
  <c r="K58" i="8"/>
  <c r="L54" i="8"/>
  <c r="L56" i="8"/>
  <c r="L45" i="8"/>
  <c r="P39" i="8"/>
  <c r="M39" i="8"/>
  <c r="N50" i="8"/>
  <c r="N52" i="8"/>
  <c r="N54" i="8"/>
  <c r="N56" i="8"/>
  <c r="N58" i="8"/>
  <c r="N45" i="8"/>
  <c r="N39" i="8"/>
  <c r="P54" i="8"/>
  <c r="P45" i="8"/>
  <c r="L39" i="8"/>
  <c r="P56" i="8"/>
  <c r="O45" i="8"/>
  <c r="O39" i="8"/>
  <c r="P53" i="8"/>
  <c r="O51" i="8"/>
  <c r="K52" i="8"/>
  <c r="K56" i="8"/>
  <c r="P55" i="8"/>
  <c r="P52" i="8"/>
  <c r="N49" i="8"/>
  <c r="O49" i="8"/>
  <c r="O55" i="8"/>
  <c r="O57" i="8"/>
  <c r="P58" i="8"/>
  <c r="K50" i="8"/>
  <c r="K54" i="8"/>
  <c r="K45" i="8"/>
  <c r="K39" i="8"/>
  <c r="L50" i="8"/>
  <c r="M50" i="8"/>
  <c r="M52" i="8"/>
  <c r="M54" i="8"/>
  <c r="M56" i="8"/>
  <c r="M58" i="8"/>
  <c r="M45" i="8"/>
  <c r="O50" i="8"/>
  <c r="O52" i="8"/>
  <c r="O54" i="8"/>
  <c r="O56" i="8"/>
  <c r="O58" i="8"/>
  <c r="K49" i="8"/>
  <c r="K51" i="8"/>
  <c r="K53" i="8"/>
  <c r="K55" i="8"/>
  <c r="K57" i="8"/>
  <c r="K44" i="8"/>
  <c r="P51" i="8"/>
  <c r="L49" i="8"/>
  <c r="L51" i="8"/>
  <c r="L53" i="8"/>
  <c r="L55" i="8"/>
  <c r="L57" i="8"/>
  <c r="L44" i="8"/>
  <c r="P50" i="8"/>
  <c r="N53" i="8"/>
  <c r="N55" i="8"/>
  <c r="N57" i="8"/>
  <c r="N44" i="8"/>
  <c r="O44" i="8"/>
  <c r="P57" i="8"/>
  <c r="L52" i="8"/>
  <c r="L58" i="8"/>
  <c r="M49" i="8"/>
  <c r="M51" i="8"/>
  <c r="M53" i="8"/>
  <c r="M55" i="8"/>
  <c r="M57" i="8"/>
  <c r="M44" i="8"/>
  <c r="P49" i="8"/>
  <c r="B31" i="9"/>
  <c r="B30" i="9"/>
  <c r="B29" i="9"/>
  <c r="B28" i="9"/>
  <c r="B27" i="9"/>
  <c r="B9" i="9"/>
  <c r="B8" i="9"/>
  <c r="B7" i="9"/>
  <c r="B6" i="9"/>
  <c r="B5" i="9"/>
  <c r="B4" i="9"/>
  <c r="P17" i="4"/>
  <c r="J22" i="8"/>
  <c r="I22" i="8"/>
  <c r="H22" i="8"/>
  <c r="G22" i="8"/>
  <c r="F22" i="8"/>
  <c r="C82" i="8"/>
  <c r="B82" i="8"/>
  <c r="I82" i="8" s="1"/>
  <c r="C81" i="8"/>
  <c r="B81" i="8"/>
  <c r="J81" i="8" s="1"/>
  <c r="C80" i="8"/>
  <c r="B80" i="8"/>
  <c r="M80" i="8" s="1"/>
  <c r="C79" i="8"/>
  <c r="B79" i="8"/>
  <c r="C36" i="8"/>
  <c r="B36" i="8"/>
  <c r="C35" i="8"/>
  <c r="B35" i="8"/>
  <c r="C34" i="8"/>
  <c r="B34" i="8"/>
  <c r="O34" i="8" s="1"/>
  <c r="C33" i="8"/>
  <c r="B33" i="8"/>
  <c r="C32" i="8"/>
  <c r="B32" i="8"/>
  <c r="H32" i="8" s="1"/>
  <c r="C31" i="8"/>
  <c r="B31" i="8"/>
  <c r="G31" i="8" s="1"/>
  <c r="C30" i="8"/>
  <c r="B30" i="8"/>
  <c r="C29" i="8"/>
  <c r="B29" i="8"/>
  <c r="I29" i="8" s="1"/>
  <c r="C28" i="8"/>
  <c r="B28" i="8"/>
  <c r="J28" i="8" s="1"/>
  <c r="C27" i="8"/>
  <c r="B27" i="8"/>
  <c r="J27" i="8" s="1"/>
  <c r="C26" i="8"/>
  <c r="B26" i="8"/>
  <c r="J26" i="8" s="1"/>
  <c r="C25" i="8"/>
  <c r="B25" i="8"/>
  <c r="N25" i="8" s="1"/>
  <c r="C24" i="8"/>
  <c r="B24" i="8"/>
  <c r="G24" i="8" s="1"/>
  <c r="C23" i="8"/>
  <c r="B23" i="8"/>
  <c r="I23" i="8" s="1"/>
  <c r="C22" i="8"/>
  <c r="C20" i="8"/>
  <c r="B20" i="8"/>
  <c r="G20" i="8" s="1"/>
  <c r="C19" i="8"/>
  <c r="B19" i="8"/>
  <c r="F19" i="8" s="1"/>
  <c r="C18" i="8"/>
  <c r="B18" i="8"/>
  <c r="P18" i="8" s="1"/>
  <c r="C17" i="8"/>
  <c r="B17" i="8"/>
  <c r="I17" i="8" s="1"/>
  <c r="C16" i="8"/>
  <c r="B16" i="8"/>
  <c r="N16" i="8" s="1"/>
  <c r="C15" i="8"/>
  <c r="B15" i="8"/>
  <c r="J15" i="8" s="1"/>
  <c r="C14" i="8"/>
  <c r="B14" i="8"/>
  <c r="F14" i="8" s="1"/>
  <c r="C13" i="8"/>
  <c r="B13" i="8"/>
  <c r="I13" i="8" s="1"/>
  <c r="C12" i="8"/>
  <c r="B12" i="8"/>
  <c r="C11" i="8"/>
  <c r="B11" i="8"/>
  <c r="J11" i="8" s="1"/>
  <c r="C10" i="8"/>
  <c r="B10" i="8"/>
  <c r="C9" i="8"/>
  <c r="B9" i="8"/>
  <c r="K9" i="8" s="1"/>
  <c r="C8" i="8"/>
  <c r="B8" i="8"/>
  <c r="K8" i="8" s="1"/>
  <c r="C7" i="8"/>
  <c r="B7" i="8"/>
  <c r="I7" i="8" s="1"/>
  <c r="C6" i="8"/>
  <c r="B6" i="8"/>
  <c r="J6" i="8" s="1"/>
  <c r="P137" i="4"/>
  <c r="Q137" i="4" s="1"/>
  <c r="R137" i="4" s="1"/>
  <c r="S137" i="4" s="1"/>
  <c r="D137" i="4"/>
  <c r="P136" i="4"/>
  <c r="Q136" i="4" s="1"/>
  <c r="R136" i="4" s="1"/>
  <c r="S136" i="4" s="1"/>
  <c r="D136" i="4"/>
  <c r="AE135" i="4"/>
  <c r="AD135" i="4"/>
  <c r="AC135" i="4"/>
  <c r="AB135" i="4"/>
  <c r="AA135" i="4"/>
  <c r="B135" i="4"/>
  <c r="A135" i="4"/>
  <c r="AE134" i="4"/>
  <c r="AD134" i="4"/>
  <c r="AC134" i="4"/>
  <c r="AB134" i="4"/>
  <c r="AA134" i="4"/>
  <c r="T134" i="4"/>
  <c r="B134" i="4"/>
  <c r="A134" i="4"/>
  <c r="AE133" i="4"/>
  <c r="AD133" i="4"/>
  <c r="AC133" i="4"/>
  <c r="AB133" i="4"/>
  <c r="AA133" i="4"/>
  <c r="B133" i="4"/>
  <c r="A133" i="4"/>
  <c r="AE132" i="4"/>
  <c r="AD132" i="4"/>
  <c r="AC132" i="4"/>
  <c r="AB132" i="4"/>
  <c r="AA132" i="4"/>
  <c r="M132" i="4"/>
  <c r="M133" i="4" s="1"/>
  <c r="M135" i="4" s="1"/>
  <c r="M136" i="4" s="1"/>
  <c r="M137" i="4" s="1"/>
  <c r="B132" i="4"/>
  <c r="A132" i="4"/>
  <c r="AI131" i="4"/>
  <c r="AH131" i="4"/>
  <c r="S131" i="4"/>
  <c r="D131" i="4"/>
  <c r="AE131" i="4" s="1"/>
  <c r="BA130" i="4"/>
  <c r="AE130" i="4"/>
  <c r="AD130" i="4"/>
  <c r="AC130" i="4"/>
  <c r="AB130" i="4"/>
  <c r="AA130" i="4"/>
  <c r="S130" i="4"/>
  <c r="F130" i="4"/>
  <c r="B130" i="4"/>
  <c r="A130" i="4"/>
  <c r="BA129" i="4"/>
  <c r="AE129" i="4"/>
  <c r="AD129" i="4"/>
  <c r="AC129" i="4"/>
  <c r="AB129" i="4"/>
  <c r="AA129" i="4"/>
  <c r="S129" i="4"/>
  <c r="A129" i="4"/>
  <c r="BA128" i="4"/>
  <c r="AE128" i="4"/>
  <c r="AD128" i="4"/>
  <c r="AC128" i="4"/>
  <c r="AB128" i="4"/>
  <c r="AA128" i="4"/>
  <c r="T128" i="4"/>
  <c r="B128" i="4"/>
  <c r="A128" i="4"/>
  <c r="BA127" i="4"/>
  <c r="AE127" i="4"/>
  <c r="AD127" i="4"/>
  <c r="AC127" i="4"/>
  <c r="AB127" i="4"/>
  <c r="AA127" i="4"/>
  <c r="T127" i="4"/>
  <c r="B127" i="4"/>
  <c r="A127" i="4"/>
  <c r="BA126" i="4"/>
  <c r="AE126" i="4"/>
  <c r="AD126" i="4"/>
  <c r="AC126" i="4"/>
  <c r="AB126" i="4"/>
  <c r="AA126" i="4"/>
  <c r="B126" i="4"/>
  <c r="A126" i="4"/>
  <c r="BC125" i="4"/>
  <c r="BC127" i="4" s="1"/>
  <c r="BA125" i="4"/>
  <c r="AE125" i="4"/>
  <c r="AD125" i="4"/>
  <c r="AC125" i="4"/>
  <c r="AB125" i="4"/>
  <c r="AA125" i="4"/>
  <c r="B125" i="4"/>
  <c r="A125" i="4"/>
  <c r="BC124" i="4"/>
  <c r="BC126" i="4" s="1"/>
  <c r="BC128" i="4" s="1"/>
  <c r="BA124" i="4"/>
  <c r="AE124" i="4"/>
  <c r="AD124" i="4"/>
  <c r="AC124" i="4"/>
  <c r="AB124" i="4"/>
  <c r="AA124" i="4"/>
  <c r="T124" i="4"/>
  <c r="B124" i="4"/>
  <c r="A124" i="4"/>
  <c r="BA123" i="4"/>
  <c r="AE123" i="4"/>
  <c r="AD123" i="4"/>
  <c r="AC123" i="4"/>
  <c r="AB123" i="4"/>
  <c r="AA123" i="4"/>
  <c r="T123" i="4"/>
  <c r="S123" i="4"/>
  <c r="B123" i="4"/>
  <c r="A123" i="4"/>
  <c r="BA122" i="4"/>
  <c r="AE122" i="4"/>
  <c r="AD122" i="4"/>
  <c r="AC122" i="4"/>
  <c r="AB122" i="4"/>
  <c r="AA122" i="4"/>
  <c r="T122" i="4"/>
  <c r="T121" i="4" s="1"/>
  <c r="S122" i="4"/>
  <c r="S108" i="4" s="1"/>
  <c r="B122" i="4"/>
  <c r="A122" i="4"/>
  <c r="BD121" i="4"/>
  <c r="BC121" i="4"/>
  <c r="BA121" i="4"/>
  <c r="AI121" i="4"/>
  <c r="AE121" i="4"/>
  <c r="AD121" i="4"/>
  <c r="AC121" i="4"/>
  <c r="AB121" i="4"/>
  <c r="AA121" i="4"/>
  <c r="S121" i="4"/>
  <c r="B121" i="4"/>
  <c r="A121" i="4"/>
  <c r="AE120" i="4"/>
  <c r="AD120" i="4"/>
  <c r="AC120" i="4"/>
  <c r="AB120" i="4"/>
  <c r="AA120" i="4"/>
  <c r="T120" i="4"/>
  <c r="B120" i="4"/>
  <c r="A120" i="4"/>
  <c r="AE119" i="4"/>
  <c r="AD119" i="4"/>
  <c r="AC119" i="4"/>
  <c r="AB119" i="4"/>
  <c r="AA119" i="4"/>
  <c r="T119" i="4"/>
  <c r="B119" i="4"/>
  <c r="A119" i="4"/>
  <c r="AE118" i="4"/>
  <c r="AD118" i="4"/>
  <c r="AC118" i="4"/>
  <c r="AB118" i="4"/>
  <c r="AA118" i="4"/>
  <c r="B118" i="4"/>
  <c r="A118" i="4"/>
  <c r="BC117" i="4"/>
  <c r="BA117" i="4"/>
  <c r="AI117" i="4"/>
  <c r="AH117" i="4"/>
  <c r="AE117" i="4"/>
  <c r="AD117" i="4"/>
  <c r="AC117" i="4"/>
  <c r="AB117" i="4"/>
  <c r="AA117" i="4"/>
  <c r="S117" i="4"/>
  <c r="B117" i="4"/>
  <c r="A117" i="4"/>
  <c r="BC116" i="4"/>
  <c r="BA116" i="4"/>
  <c r="AE116" i="4"/>
  <c r="AD116" i="4"/>
  <c r="AC116" i="4"/>
  <c r="AB116" i="4"/>
  <c r="AA116" i="4"/>
  <c r="T116" i="4"/>
  <c r="B116" i="4"/>
  <c r="A116" i="4"/>
  <c r="BA115" i="4"/>
  <c r="AE115" i="4"/>
  <c r="AD115" i="4"/>
  <c r="AC115" i="4"/>
  <c r="AB115" i="4"/>
  <c r="AA115" i="4"/>
  <c r="T115" i="4"/>
  <c r="B115" i="4"/>
  <c r="A115" i="4"/>
  <c r="BC114" i="4"/>
  <c r="BD114" i="4" s="1"/>
  <c r="BA114" i="4"/>
  <c r="AI114" i="4"/>
  <c r="AH114" i="4"/>
  <c r="AE114" i="4"/>
  <c r="AD114" i="4"/>
  <c r="AC114" i="4"/>
  <c r="AB114" i="4"/>
  <c r="AA114" i="4"/>
  <c r="S114" i="4"/>
  <c r="B114" i="4"/>
  <c r="A114" i="4"/>
  <c r="BC113" i="4"/>
  <c r="BB113" i="4"/>
  <c r="BA113" i="4"/>
  <c r="AE113" i="4"/>
  <c r="AD113" i="4"/>
  <c r="AC113" i="4"/>
  <c r="AB113" i="4"/>
  <c r="AA113" i="4"/>
  <c r="B113" i="4"/>
  <c r="A113" i="4"/>
  <c r="BC112" i="4"/>
  <c r="BA112" i="4"/>
  <c r="AI112" i="4"/>
  <c r="AI113" i="4" s="1"/>
  <c r="AH112" i="4"/>
  <c r="AH113" i="4" s="1"/>
  <c r="AE112" i="4"/>
  <c r="AD112" i="4"/>
  <c r="AC112" i="4"/>
  <c r="AB112" i="4"/>
  <c r="AA112" i="4"/>
  <c r="S112" i="4"/>
  <c r="B112" i="4"/>
  <c r="A112" i="4"/>
  <c r="BC111" i="4"/>
  <c r="BA111" i="4"/>
  <c r="AE111" i="4"/>
  <c r="AD111" i="4"/>
  <c r="AC111" i="4"/>
  <c r="AB111" i="4"/>
  <c r="AA111" i="4"/>
  <c r="T111" i="4"/>
  <c r="B111" i="4"/>
  <c r="A111" i="4"/>
  <c r="BC110" i="4"/>
  <c r="BA110" i="4"/>
  <c r="AE110" i="4"/>
  <c r="AD110" i="4"/>
  <c r="AC110" i="4"/>
  <c r="AB110" i="4"/>
  <c r="AA110" i="4"/>
  <c r="T110" i="4"/>
  <c r="T112" i="4" s="1"/>
  <c r="B110" i="4"/>
  <c r="A110" i="4"/>
  <c r="BA109" i="4"/>
  <c r="AE109" i="4"/>
  <c r="AD109" i="4"/>
  <c r="AC109" i="4"/>
  <c r="AB109" i="4"/>
  <c r="AA109" i="4"/>
  <c r="T109" i="4"/>
  <c r="B109" i="4"/>
  <c r="A109" i="4"/>
  <c r="BA108" i="4"/>
  <c r="AH108" i="4"/>
  <c r="AE108" i="4"/>
  <c r="AD108" i="4"/>
  <c r="AC108" i="4"/>
  <c r="AB108" i="4"/>
  <c r="AA108" i="4"/>
  <c r="T108" i="4"/>
  <c r="F108" i="4"/>
  <c r="B108" i="4"/>
  <c r="A108" i="4"/>
  <c r="D107" i="4"/>
  <c r="B107" i="4" s="1"/>
  <c r="A107" i="4"/>
  <c r="D106" i="4"/>
  <c r="AE106" i="4" s="1"/>
  <c r="D105" i="4"/>
  <c r="D97" i="4" s="1"/>
  <c r="AA97" i="4" s="1"/>
  <c r="D104" i="4"/>
  <c r="D103" i="4"/>
  <c r="AE103" i="4" s="1"/>
  <c r="D102" i="4"/>
  <c r="AA102" i="4" s="1"/>
  <c r="D101" i="4"/>
  <c r="BA101" i="4" s="1"/>
  <c r="D100" i="4"/>
  <c r="AD100" i="4" s="1"/>
  <c r="D91" i="4"/>
  <c r="BA90" i="4"/>
  <c r="AE90" i="4"/>
  <c r="AD90" i="4"/>
  <c r="AC90" i="4"/>
  <c r="AB90" i="4"/>
  <c r="AA90" i="4"/>
  <c r="S90" i="4"/>
  <c r="B90" i="4"/>
  <c r="A90" i="4"/>
  <c r="BA89" i="4"/>
  <c r="AE89" i="4"/>
  <c r="AD89" i="4"/>
  <c r="AC89" i="4"/>
  <c r="AB89" i="4"/>
  <c r="AA89" i="4"/>
  <c r="S89" i="4"/>
  <c r="B89" i="4"/>
  <c r="A89" i="4"/>
  <c r="BA88" i="4"/>
  <c r="AI88" i="4"/>
  <c r="AE88" i="4"/>
  <c r="AD88" i="4"/>
  <c r="AC88" i="4"/>
  <c r="AB88" i="4"/>
  <c r="AA88" i="4"/>
  <c r="S88" i="4"/>
  <c r="B88" i="4"/>
  <c r="A88" i="4"/>
  <c r="BA87" i="4"/>
  <c r="AI87" i="4"/>
  <c r="AE87" i="4"/>
  <c r="AD87" i="4"/>
  <c r="AC87" i="4"/>
  <c r="AB87" i="4"/>
  <c r="AA87" i="4"/>
  <c r="S87" i="4"/>
  <c r="B87" i="4"/>
  <c r="A87" i="4"/>
  <c r="BA86" i="4"/>
  <c r="AI86" i="4"/>
  <c r="AE86" i="4"/>
  <c r="AD86" i="4"/>
  <c r="AC86" i="4"/>
  <c r="AB86" i="4"/>
  <c r="AA86" i="4"/>
  <c r="S86" i="4"/>
  <c r="B86" i="4"/>
  <c r="A86" i="4"/>
  <c r="BA85" i="4"/>
  <c r="AI85" i="4"/>
  <c r="AE85" i="4"/>
  <c r="AD85" i="4"/>
  <c r="AC85" i="4"/>
  <c r="AB85" i="4"/>
  <c r="AA85" i="4"/>
  <c r="S85" i="4"/>
  <c r="B85" i="4"/>
  <c r="A85" i="4"/>
  <c r="BA84" i="4"/>
  <c r="AI84" i="4"/>
  <c r="AE84" i="4"/>
  <c r="AD84" i="4"/>
  <c r="AC84" i="4"/>
  <c r="AB84" i="4"/>
  <c r="AA84" i="4"/>
  <c r="S84" i="4"/>
  <c r="B84" i="4"/>
  <c r="A84" i="4"/>
  <c r="BA83" i="4"/>
  <c r="AI83" i="4"/>
  <c r="AE83" i="4"/>
  <c r="AD83" i="4"/>
  <c r="AC83" i="4"/>
  <c r="AB83" i="4"/>
  <c r="AA83" i="4"/>
  <c r="S83" i="4"/>
  <c r="B83" i="4"/>
  <c r="A83" i="4"/>
  <c r="BC82" i="4"/>
  <c r="BA82" i="4"/>
  <c r="AI82" i="4"/>
  <c r="AH82" i="4"/>
  <c r="AE82" i="4"/>
  <c r="AD82" i="4"/>
  <c r="AC82" i="4"/>
  <c r="AB82" i="4"/>
  <c r="AA82" i="4"/>
  <c r="B82" i="4"/>
  <c r="A82" i="4"/>
  <c r="BA81" i="4"/>
  <c r="AE81" i="4"/>
  <c r="AD81" i="4"/>
  <c r="AC81" i="4"/>
  <c r="AB81" i="4"/>
  <c r="AA81" i="4"/>
  <c r="B81" i="4"/>
  <c r="A81" i="4"/>
  <c r="BA80" i="4"/>
  <c r="AI80" i="4"/>
  <c r="AI89" i="4" s="1"/>
  <c r="AE80" i="4"/>
  <c r="AD80" i="4"/>
  <c r="AC80" i="4"/>
  <c r="AB80" i="4"/>
  <c r="AA80" i="4"/>
  <c r="B80" i="4"/>
  <c r="A80" i="4"/>
  <c r="BA79" i="4"/>
  <c r="AE79" i="4"/>
  <c r="AD79" i="4"/>
  <c r="AC79" i="4"/>
  <c r="AB79" i="4"/>
  <c r="AA79" i="4"/>
  <c r="B79" i="4"/>
  <c r="A79" i="4"/>
  <c r="BA78" i="4"/>
  <c r="AE78" i="4"/>
  <c r="AD78" i="4"/>
  <c r="AC78" i="4"/>
  <c r="AB78" i="4"/>
  <c r="AA78" i="4"/>
  <c r="F78" i="4"/>
  <c r="B78" i="4"/>
  <c r="A78" i="4"/>
  <c r="BA77" i="4"/>
  <c r="AE77" i="4"/>
  <c r="AD77" i="4"/>
  <c r="AC77" i="4"/>
  <c r="AB77" i="4"/>
  <c r="AA77" i="4"/>
  <c r="G77" i="4"/>
  <c r="G87" i="4" s="1"/>
  <c r="G104" i="4" s="1"/>
  <c r="B77" i="4"/>
  <c r="A77" i="4"/>
  <c r="BA76" i="4"/>
  <c r="AE76" i="4"/>
  <c r="AD76" i="4"/>
  <c r="AC76" i="4"/>
  <c r="AB76" i="4"/>
  <c r="AA76" i="4"/>
  <c r="B76" i="4"/>
  <c r="A76" i="4"/>
  <c r="BA75" i="4"/>
  <c r="AE75" i="4"/>
  <c r="AD75" i="4"/>
  <c r="AC75" i="4"/>
  <c r="AB75" i="4"/>
  <c r="AA75" i="4"/>
  <c r="B75" i="4"/>
  <c r="A75" i="4"/>
  <c r="BA74" i="4"/>
  <c r="AE74" i="4"/>
  <c r="AD74" i="4"/>
  <c r="AC74" i="4"/>
  <c r="AB74" i="4"/>
  <c r="AA74" i="4"/>
  <c r="B74" i="4"/>
  <c r="A74" i="4"/>
  <c r="BA73" i="4"/>
  <c r="AE73" i="4"/>
  <c r="AD73" i="4"/>
  <c r="AC73" i="4"/>
  <c r="AB73" i="4"/>
  <c r="AA73" i="4"/>
  <c r="B73" i="4"/>
  <c r="A73" i="4"/>
  <c r="BC72" i="4"/>
  <c r="BA72" i="4"/>
  <c r="AE72" i="4"/>
  <c r="AD72" i="4"/>
  <c r="AC72" i="4"/>
  <c r="AB72" i="4"/>
  <c r="AA72" i="4"/>
  <c r="B72" i="4"/>
  <c r="A72" i="4"/>
  <c r="BA71" i="4"/>
  <c r="AE71" i="4"/>
  <c r="AD71" i="4"/>
  <c r="AC71" i="4"/>
  <c r="AB71" i="4"/>
  <c r="AA71" i="4"/>
  <c r="B71" i="4"/>
  <c r="A71" i="4"/>
  <c r="BC70" i="4"/>
  <c r="BA70" i="4"/>
  <c r="AI70" i="4"/>
  <c r="AH70" i="4"/>
  <c r="AE70" i="4"/>
  <c r="AD70" i="4"/>
  <c r="AC70" i="4"/>
  <c r="AB70" i="4"/>
  <c r="AA70" i="4"/>
  <c r="Z70" i="4"/>
  <c r="B70" i="4"/>
  <c r="A70" i="4"/>
  <c r="BA69" i="4"/>
  <c r="AH69" i="4"/>
  <c r="AE69" i="4"/>
  <c r="AD69" i="4"/>
  <c r="AC69" i="4"/>
  <c r="AB69" i="4"/>
  <c r="AA69" i="4"/>
  <c r="B69" i="4"/>
  <c r="A69" i="4"/>
  <c r="BC68" i="4"/>
  <c r="BA68" i="4"/>
  <c r="AE68" i="4"/>
  <c r="AD68" i="4"/>
  <c r="AC68" i="4"/>
  <c r="AB68" i="4"/>
  <c r="AA68" i="4"/>
  <c r="T68" i="4"/>
  <c r="B68" i="4"/>
  <c r="A68" i="4"/>
  <c r="BC67" i="4"/>
  <c r="BA67" i="4"/>
  <c r="AE67" i="4"/>
  <c r="AD67" i="4"/>
  <c r="AC67" i="4"/>
  <c r="AB67" i="4"/>
  <c r="AA67" i="4"/>
  <c r="T67" i="4"/>
  <c r="B67" i="4"/>
  <c r="A67" i="4"/>
  <c r="BA66" i="4"/>
  <c r="AE66" i="4"/>
  <c r="AD66" i="4"/>
  <c r="AC66" i="4"/>
  <c r="AB66" i="4"/>
  <c r="AA66" i="4"/>
  <c r="T66" i="4"/>
  <c r="S66" i="4"/>
  <c r="B66" i="4"/>
  <c r="A66" i="4"/>
  <c r="BA65" i="4"/>
  <c r="AE65" i="4"/>
  <c r="AD65" i="4"/>
  <c r="AC65" i="4"/>
  <c r="AB65" i="4"/>
  <c r="AA65" i="4"/>
  <c r="AA49" i="4" s="1"/>
  <c r="T65" i="4"/>
  <c r="B65" i="4"/>
  <c r="A65" i="4"/>
  <c r="BA64" i="4"/>
  <c r="AH64" i="4"/>
  <c r="AH121" i="4" s="1"/>
  <c r="AH123" i="4" s="1"/>
  <c r="AE64" i="4"/>
  <c r="AD64" i="4"/>
  <c r="AC64" i="4"/>
  <c r="AB64" i="4"/>
  <c r="AA64" i="4"/>
  <c r="T64" i="4"/>
  <c r="B64" i="4"/>
  <c r="A64" i="4"/>
  <c r="AG63" i="4"/>
  <c r="AE63" i="4"/>
  <c r="AD63" i="4"/>
  <c r="AC63" i="4"/>
  <c r="AB63" i="4"/>
  <c r="AA63" i="4"/>
  <c r="B63" i="4"/>
  <c r="A63" i="4"/>
  <c r="AE62" i="4"/>
  <c r="AD62" i="4"/>
  <c r="AC62" i="4"/>
  <c r="AB62" i="4"/>
  <c r="AA62" i="4"/>
  <c r="S62" i="4"/>
  <c r="T62" i="4" s="1"/>
  <c r="B62" i="4"/>
  <c r="A62" i="4"/>
  <c r="AE61" i="4"/>
  <c r="AD61" i="4"/>
  <c r="AC61" i="4"/>
  <c r="AB61" i="4"/>
  <c r="AA61" i="4"/>
  <c r="B61" i="4"/>
  <c r="A61" i="4"/>
  <c r="BC60" i="4"/>
  <c r="BA60" i="4"/>
  <c r="AI60" i="4"/>
  <c r="AH60" i="4"/>
  <c r="AE60" i="4"/>
  <c r="AD60" i="4"/>
  <c r="AC60" i="4"/>
  <c r="AB60" i="4"/>
  <c r="AA60" i="4"/>
  <c r="B60" i="4"/>
  <c r="A60" i="4"/>
  <c r="BC59" i="4"/>
  <c r="BA59" i="4"/>
  <c r="AE59" i="4"/>
  <c r="AD59" i="4"/>
  <c r="AC59" i="4"/>
  <c r="AB59" i="4"/>
  <c r="AA59" i="4"/>
  <c r="Z59" i="4"/>
  <c r="T59" i="4"/>
  <c r="T131" i="4" s="1"/>
  <c r="B59" i="4"/>
  <c r="A59" i="4"/>
  <c r="AE58" i="4"/>
  <c r="AD58" i="4"/>
  <c r="AC58" i="4"/>
  <c r="AB58" i="4"/>
  <c r="Z58" i="4"/>
  <c r="F58" i="4"/>
  <c r="Z57" i="4"/>
  <c r="T57" i="4" s="1"/>
  <c r="T70" i="4" s="1"/>
  <c r="Y57" i="4"/>
  <c r="F57" i="4"/>
  <c r="S56" i="4"/>
  <c r="M56" i="4"/>
  <c r="F56" i="4"/>
  <c r="AX55" i="4"/>
  <c r="AT137" i="4" s="1"/>
  <c r="AD54" i="4"/>
  <c r="T53" i="4"/>
  <c r="O49" i="4"/>
  <c r="Z48" i="4"/>
  <c r="C35" i="9" s="1"/>
  <c r="D35" i="9" s="1"/>
  <c r="W48" i="4"/>
  <c r="V48" i="4" s="1"/>
  <c r="T48" i="4"/>
  <c r="N48" i="4"/>
  <c r="I36" i="10" s="1"/>
  <c r="M48" i="4"/>
  <c r="H36" i="10" s="1"/>
  <c r="L48" i="4"/>
  <c r="G36" i="10" s="1"/>
  <c r="K48" i="4"/>
  <c r="F36" i="10" s="1"/>
  <c r="I48" i="4"/>
  <c r="D36" i="10" s="1"/>
  <c r="H48" i="4"/>
  <c r="C36" i="10" s="1"/>
  <c r="G48" i="4"/>
  <c r="F48" i="4"/>
  <c r="D48" i="4"/>
  <c r="A48" i="4" s="1"/>
  <c r="W47" i="4"/>
  <c r="V47" i="4" s="1"/>
  <c r="U47" i="4"/>
  <c r="N47" i="4"/>
  <c r="I35" i="10" s="1"/>
  <c r="M47" i="4"/>
  <c r="H35" i="10" s="1"/>
  <c r="L47" i="4"/>
  <c r="G35" i="10" s="1"/>
  <c r="K47" i="4"/>
  <c r="F35" i="10" s="1"/>
  <c r="I47" i="4"/>
  <c r="D35" i="10" s="1"/>
  <c r="D47" i="4"/>
  <c r="A47" i="4" s="1"/>
  <c r="W46" i="4"/>
  <c r="V46" i="4" s="1"/>
  <c r="T46" i="4"/>
  <c r="S46" i="4"/>
  <c r="P46" i="4"/>
  <c r="O46" i="4"/>
  <c r="N46" i="4"/>
  <c r="I34" i="10" s="1"/>
  <c r="M46" i="4"/>
  <c r="H34" i="10" s="1"/>
  <c r="L46" i="4"/>
  <c r="G34" i="10" s="1"/>
  <c r="K46" i="4"/>
  <c r="F34" i="10" s="1"/>
  <c r="I46" i="4"/>
  <c r="D34" i="10" s="1"/>
  <c r="H46" i="4"/>
  <c r="C34" i="10" s="1"/>
  <c r="D46" i="4"/>
  <c r="A46" i="4" s="1"/>
  <c r="W45" i="4"/>
  <c r="V45" i="4"/>
  <c r="O45" i="4"/>
  <c r="N45" i="4"/>
  <c r="I33" i="10" s="1"/>
  <c r="M45" i="4"/>
  <c r="H33" i="10" s="1"/>
  <c r="L45" i="4"/>
  <c r="G33" i="10" s="1"/>
  <c r="K45" i="4"/>
  <c r="F33" i="10" s="1"/>
  <c r="I45" i="4"/>
  <c r="D33" i="10" s="1"/>
  <c r="H45" i="4"/>
  <c r="D45" i="4"/>
  <c r="A45" i="4" s="1"/>
  <c r="AG44" i="4"/>
  <c r="F32" i="11" s="1"/>
  <c r="N32" i="11" s="1"/>
  <c r="AF44" i="4"/>
  <c r="E32" i="11" s="1"/>
  <c r="M32" i="11" s="1"/>
  <c r="W44" i="4"/>
  <c r="V44" i="4" s="1"/>
  <c r="U44" i="4"/>
  <c r="T44" i="4"/>
  <c r="N44" i="4"/>
  <c r="I32" i="10" s="1"/>
  <c r="M44" i="4"/>
  <c r="H32" i="10" s="1"/>
  <c r="L44" i="4"/>
  <c r="G32" i="10" s="1"/>
  <c r="K44" i="4"/>
  <c r="F32" i="10" s="1"/>
  <c r="D44" i="4"/>
  <c r="A44" i="4" s="1"/>
  <c r="W43" i="4"/>
  <c r="V43" i="4"/>
  <c r="N43" i="4"/>
  <c r="I31" i="10" s="1"/>
  <c r="M43" i="4"/>
  <c r="H31" i="10" s="1"/>
  <c r="L43" i="4"/>
  <c r="G31" i="10" s="1"/>
  <c r="K43" i="4"/>
  <c r="F31" i="10" s="1"/>
  <c r="I43" i="4"/>
  <c r="D31" i="10" s="1"/>
  <c r="G43" i="4"/>
  <c r="D43" i="4"/>
  <c r="A43" i="4" s="1"/>
  <c r="AN42" i="4"/>
  <c r="V42" i="4"/>
  <c r="R42" i="4"/>
  <c r="S42" i="4" s="1"/>
  <c r="T42" i="4" s="1"/>
  <c r="U42" i="4" s="1"/>
  <c r="P42" i="4"/>
  <c r="G42" i="4"/>
  <c r="F42" i="4"/>
  <c r="D42" i="4"/>
  <c r="A42" i="4" s="1"/>
  <c r="AZ41" i="4"/>
  <c r="AS41" i="4"/>
  <c r="BA41" i="4" s="1"/>
  <c r="AQ41" i="4"/>
  <c r="AP41" i="4"/>
  <c r="AO41" i="4"/>
  <c r="Y41" i="4"/>
  <c r="X41" i="4"/>
  <c r="V41" i="4"/>
  <c r="U41" i="4"/>
  <c r="T41" i="4"/>
  <c r="S41" i="4"/>
  <c r="R41" i="4"/>
  <c r="Q41" i="4"/>
  <c r="P41" i="4"/>
  <c r="O41" i="4"/>
  <c r="G41" i="4"/>
  <c r="G129" i="4" s="1"/>
  <c r="F41" i="4"/>
  <c r="F129" i="4" s="1"/>
  <c r="A41" i="4"/>
  <c r="BI40" i="4" a="1"/>
  <c r="BI40" i="4" s="1"/>
  <c r="AS40" i="4"/>
  <c r="BA40" i="4" s="1"/>
  <c r="AQ40" i="4"/>
  <c r="AP40" i="4"/>
  <c r="AO40" i="4"/>
  <c r="AA40" i="4"/>
  <c r="D27" i="9" s="1"/>
  <c r="V40" i="4"/>
  <c r="T40" i="4"/>
  <c r="S40" i="4"/>
  <c r="N40" i="4"/>
  <c r="I28" i="10" s="1"/>
  <c r="O28" i="10" s="1"/>
  <c r="M40" i="4"/>
  <c r="H28" i="10" s="1"/>
  <c r="N28" i="10" s="1"/>
  <c r="L40" i="4"/>
  <c r="G28" i="10" s="1"/>
  <c r="M28" i="10" s="1"/>
  <c r="K40" i="4"/>
  <c r="F28" i="10" s="1"/>
  <c r="L28" i="10" s="1"/>
  <c r="J40" i="4"/>
  <c r="F40" i="4"/>
  <c r="B40" i="4"/>
  <c r="A40" i="4"/>
  <c r="BI39" i="4"/>
  <c r="BI39" i="4" a="1"/>
  <c r="AZ39" i="4"/>
  <c r="AS39" i="4"/>
  <c r="BA39" i="4" s="1"/>
  <c r="AQ39" i="4"/>
  <c r="AP39" i="4"/>
  <c r="AO39" i="4"/>
  <c r="Y39" i="4"/>
  <c r="Z43" i="4" s="1"/>
  <c r="C30" i="9" s="1"/>
  <c r="D30" i="9" s="1"/>
  <c r="X39" i="4"/>
  <c r="V39" i="4"/>
  <c r="U39" i="4"/>
  <c r="U43" i="4" s="1"/>
  <c r="T39" i="4"/>
  <c r="T43" i="4" s="1"/>
  <c r="S39" i="4"/>
  <c r="S43" i="4" s="1"/>
  <c r="R39" i="4"/>
  <c r="R43" i="4" s="1"/>
  <c r="Q39" i="4"/>
  <c r="P39" i="4"/>
  <c r="P43" i="4" s="1"/>
  <c r="O43" i="4" s="1"/>
  <c r="O39" i="4"/>
  <c r="G39" i="4"/>
  <c r="G124" i="4" s="1"/>
  <c r="G127" i="4" s="1"/>
  <c r="F39" i="4"/>
  <c r="F124" i="4" s="1"/>
  <c r="B39" i="4"/>
  <c r="A39" i="4"/>
  <c r="BI38" i="4" a="1"/>
  <c r="BI38" i="4" s="1"/>
  <c r="AZ38" i="4"/>
  <c r="AS38" i="4"/>
  <c r="BA38" i="4" s="1"/>
  <c r="AQ38" i="4"/>
  <c r="AP38" i="4"/>
  <c r="AO38" i="4"/>
  <c r="Y38" i="4"/>
  <c r="X38" i="4"/>
  <c r="V38" i="4"/>
  <c r="U38" i="4"/>
  <c r="T38" i="4"/>
  <c r="S38" i="4"/>
  <c r="R38" i="4"/>
  <c r="Q38" i="4"/>
  <c r="P38" i="4"/>
  <c r="O38" i="4" s="1"/>
  <c r="G38" i="4"/>
  <c r="G111" i="4" s="1"/>
  <c r="F38" i="4"/>
  <c r="F123" i="4" s="1"/>
  <c r="B38" i="4"/>
  <c r="A38" i="4"/>
  <c r="BI37" i="4" a="1"/>
  <c r="BI37" i="4" s="1"/>
  <c r="AZ37" i="4"/>
  <c r="AS37" i="4"/>
  <c r="BA37" i="4" s="1"/>
  <c r="AQ37" i="4"/>
  <c r="AP37" i="4"/>
  <c r="AO37" i="4"/>
  <c r="Y37" i="4"/>
  <c r="X37" i="4"/>
  <c r="V37" i="4"/>
  <c r="U37" i="4"/>
  <c r="T37" i="4"/>
  <c r="S37" i="4"/>
  <c r="R37" i="4"/>
  <c r="Q37" i="4"/>
  <c r="P37" i="4"/>
  <c r="O37" i="4" s="1"/>
  <c r="G37" i="4"/>
  <c r="G122" i="4" s="1"/>
  <c r="F37" i="4"/>
  <c r="F122" i="4" s="1"/>
  <c r="B37" i="4"/>
  <c r="A37" i="4"/>
  <c r="BI36" i="4" a="1"/>
  <c r="BI36" i="4" s="1"/>
  <c r="AS36" i="4"/>
  <c r="BA36" i="4" s="1"/>
  <c r="AQ36" i="4"/>
  <c r="AP36" i="4"/>
  <c r="AO36" i="4"/>
  <c r="Y36" i="4"/>
  <c r="Z45" i="4" s="1"/>
  <c r="C32" i="9" s="1"/>
  <c r="D32" i="9" s="1"/>
  <c r="X36" i="4"/>
  <c r="V36" i="4"/>
  <c r="U36" i="4"/>
  <c r="U45" i="4" s="1"/>
  <c r="T36" i="4"/>
  <c r="T45" i="4" s="1"/>
  <c r="S36" i="4"/>
  <c r="S45" i="4" s="1"/>
  <c r="R36" i="4"/>
  <c r="R45" i="4" s="1"/>
  <c r="Q36" i="4"/>
  <c r="P36" i="4"/>
  <c r="P45" i="4" s="1"/>
  <c r="G36" i="4"/>
  <c r="G116" i="4" s="1"/>
  <c r="G117" i="4" s="1"/>
  <c r="G118" i="4" s="1"/>
  <c r="G119" i="4" s="1"/>
  <c r="G120" i="4" s="1"/>
  <c r="F36" i="4"/>
  <c r="F116" i="4" s="1"/>
  <c r="F118" i="4" s="1"/>
  <c r="B36" i="4"/>
  <c r="A36" i="4"/>
  <c r="BI35" i="4" a="1"/>
  <c r="BI35" i="4" s="1"/>
  <c r="AS35" i="4"/>
  <c r="BA35" i="4" s="1"/>
  <c r="AQ35" i="4"/>
  <c r="AP35" i="4"/>
  <c r="AO35" i="4"/>
  <c r="Y35" i="4"/>
  <c r="X35" i="4"/>
  <c r="V35" i="4"/>
  <c r="U35" i="4"/>
  <c r="T35" i="4"/>
  <c r="S35" i="4"/>
  <c r="R35" i="4"/>
  <c r="Q35" i="4"/>
  <c r="P35" i="4"/>
  <c r="O35" i="4" s="1"/>
  <c r="G35" i="4"/>
  <c r="G115" i="4" s="1"/>
  <c r="G114" i="4" s="1"/>
  <c r="F35" i="4"/>
  <c r="F115" i="4" s="1"/>
  <c r="B35" i="4"/>
  <c r="A35" i="4"/>
  <c r="BI34" i="4" a="1"/>
  <c r="BI34" i="4" s="1"/>
  <c r="AS34" i="4"/>
  <c r="AQ34" i="4"/>
  <c r="AP34" i="4"/>
  <c r="AO34" i="4"/>
  <c r="Y34" i="4"/>
  <c r="Z47" i="4" s="1"/>
  <c r="X34" i="4"/>
  <c r="V34" i="4"/>
  <c r="U34" i="4"/>
  <c r="T34" i="4"/>
  <c r="T47" i="4" s="1"/>
  <c r="S34" i="4"/>
  <c r="S47" i="4" s="1"/>
  <c r="R34" i="4"/>
  <c r="R47" i="4" s="1"/>
  <c r="Q34" i="4"/>
  <c r="P34" i="4"/>
  <c r="P47" i="4" s="1"/>
  <c r="O47" i="4" s="1"/>
  <c r="G34" i="4"/>
  <c r="G110" i="4" s="1"/>
  <c r="G112" i="4" s="1"/>
  <c r="F34" i="4"/>
  <c r="F110" i="4" s="1"/>
  <c r="F113" i="4" s="1"/>
  <c r="B34" i="4"/>
  <c r="A34" i="4"/>
  <c r="BI33" i="4"/>
  <c r="BI33" i="4" a="1"/>
  <c r="AS33" i="4"/>
  <c r="BA33" i="4" s="1"/>
  <c r="AQ33" i="4"/>
  <c r="AP33" i="4"/>
  <c r="AO33" i="4"/>
  <c r="Y33" i="4"/>
  <c r="X33" i="4"/>
  <c r="V33" i="4"/>
  <c r="U33" i="4"/>
  <c r="T33" i="4"/>
  <c r="S33" i="4"/>
  <c r="R33" i="4"/>
  <c r="Q33" i="4"/>
  <c r="P33" i="4"/>
  <c r="O33" i="4"/>
  <c r="G33" i="4"/>
  <c r="G108" i="4" s="1"/>
  <c r="G113" i="4" s="1"/>
  <c r="F33" i="4"/>
  <c r="B33" i="4"/>
  <c r="A33" i="4"/>
  <c r="BI32" i="4"/>
  <c r="BI32" i="4" a="1"/>
  <c r="AS32" i="4"/>
  <c r="BA32" i="4" s="1"/>
  <c r="AQ32" i="4"/>
  <c r="AP32" i="4"/>
  <c r="AO32" i="4"/>
  <c r="Y32" i="4"/>
  <c r="X32" i="4"/>
  <c r="V32" i="4"/>
  <c r="U32" i="4"/>
  <c r="T32" i="4"/>
  <c r="S32" i="4"/>
  <c r="R32" i="4"/>
  <c r="Q32" i="4"/>
  <c r="P32" i="4"/>
  <c r="O32" i="4" s="1"/>
  <c r="G32" i="4"/>
  <c r="G81" i="4" s="1"/>
  <c r="F32" i="4"/>
  <c r="F81" i="4" s="1"/>
  <c r="B32" i="4"/>
  <c r="A32" i="4"/>
  <c r="BI31" i="4" a="1"/>
  <c r="BI31" i="4" s="1"/>
  <c r="AS31" i="4"/>
  <c r="BA31" i="4" s="1"/>
  <c r="AQ31" i="4"/>
  <c r="AP31" i="4"/>
  <c r="AO31" i="4"/>
  <c r="Y31" i="4"/>
  <c r="X31" i="4"/>
  <c r="V31" i="4"/>
  <c r="U31" i="4"/>
  <c r="T31" i="4"/>
  <c r="S31" i="4"/>
  <c r="R31" i="4"/>
  <c r="Q31" i="4"/>
  <c r="P31" i="4"/>
  <c r="O31" i="4"/>
  <c r="G31" i="4"/>
  <c r="G80" i="4" s="1"/>
  <c r="G90" i="4" s="1"/>
  <c r="G107" i="4" s="1"/>
  <c r="F31" i="4"/>
  <c r="F80" i="4" s="1"/>
  <c r="F98" i="4" s="1"/>
  <c r="B31" i="4"/>
  <c r="A31" i="4"/>
  <c r="BI30" i="4" a="1"/>
  <c r="BI30" i="4" s="1"/>
  <c r="AS30" i="4"/>
  <c r="BA30" i="4" s="1"/>
  <c r="AQ30" i="4"/>
  <c r="AP30" i="4"/>
  <c r="AO30" i="4"/>
  <c r="Y30" i="4"/>
  <c r="X30" i="4"/>
  <c r="V30" i="4"/>
  <c r="U30" i="4"/>
  <c r="T30" i="4"/>
  <c r="S30" i="4"/>
  <c r="R30" i="4"/>
  <c r="Q30" i="4"/>
  <c r="P30" i="4"/>
  <c r="O30" i="4" s="1"/>
  <c r="G30" i="4"/>
  <c r="G79" i="4" s="1"/>
  <c r="G89" i="4" s="1"/>
  <c r="G106" i="4" s="1"/>
  <c r="F30" i="4"/>
  <c r="F79" i="4" s="1"/>
  <c r="F88" i="4" s="1"/>
  <c r="B30" i="4"/>
  <c r="A30" i="4"/>
  <c r="BI29" i="4" a="1"/>
  <c r="BI29" i="4" s="1"/>
  <c r="AS29" i="4"/>
  <c r="BA29" i="4" s="1"/>
  <c r="AQ29" i="4"/>
  <c r="AP29" i="4"/>
  <c r="AO29" i="4"/>
  <c r="Y29" i="4"/>
  <c r="X29" i="4"/>
  <c r="V29" i="4"/>
  <c r="U29" i="4"/>
  <c r="T29" i="4"/>
  <c r="S29" i="4"/>
  <c r="R29" i="4"/>
  <c r="Q29" i="4"/>
  <c r="P29" i="4"/>
  <c r="O29" i="4" s="1"/>
  <c r="G29" i="4"/>
  <c r="G78" i="4" s="1"/>
  <c r="G88" i="4" s="1"/>
  <c r="G105" i="4" s="1"/>
  <c r="F29" i="4"/>
  <c r="B29" i="4"/>
  <c r="A29" i="4"/>
  <c r="BI28" i="4"/>
  <c r="BI28" i="4" a="1"/>
  <c r="AS28" i="4"/>
  <c r="BA28" i="4" s="1"/>
  <c r="AQ28" i="4"/>
  <c r="AP28" i="4"/>
  <c r="AO28" i="4"/>
  <c r="Y28" i="4"/>
  <c r="X28" i="4"/>
  <c r="V28" i="4"/>
  <c r="U28" i="4"/>
  <c r="T28" i="4"/>
  <c r="S28" i="4"/>
  <c r="R28" i="4"/>
  <c r="Q28" i="4"/>
  <c r="P28" i="4"/>
  <c r="O28" i="4"/>
  <c r="G28" i="4"/>
  <c r="F28" i="4"/>
  <c r="F77" i="4" s="1"/>
  <c r="B28" i="4"/>
  <c r="A28" i="4"/>
  <c r="BI27" i="4"/>
  <c r="BI27" i="4" a="1"/>
  <c r="AS27" i="4"/>
  <c r="BA27" i="4" s="1"/>
  <c r="AQ27" i="4"/>
  <c r="AP27" i="4"/>
  <c r="AO27" i="4"/>
  <c r="Y27" i="4"/>
  <c r="X27" i="4"/>
  <c r="V27" i="4"/>
  <c r="U27" i="4"/>
  <c r="T27" i="4"/>
  <c r="S27" i="4"/>
  <c r="R27" i="4"/>
  <c r="Q27" i="4"/>
  <c r="P27" i="4"/>
  <c r="O27" i="4" s="1"/>
  <c r="G27" i="4"/>
  <c r="G76" i="4" s="1"/>
  <c r="G86" i="4" s="1"/>
  <c r="G103" i="4" s="1"/>
  <c r="F27" i="4"/>
  <c r="F76" i="4" s="1"/>
  <c r="B27" i="4"/>
  <c r="A27" i="4"/>
  <c r="BI26" i="4"/>
  <c r="BI26" i="4" a="1"/>
  <c r="AS26" i="4"/>
  <c r="BA26" i="4" s="1"/>
  <c r="AQ26" i="4"/>
  <c r="AP26" i="4"/>
  <c r="AO26" i="4"/>
  <c r="Y26" i="4"/>
  <c r="X26" i="4"/>
  <c r="V26" i="4"/>
  <c r="U26" i="4"/>
  <c r="T26" i="4"/>
  <c r="S26" i="4"/>
  <c r="R26" i="4"/>
  <c r="Q26" i="4"/>
  <c r="P26" i="4"/>
  <c r="O26" i="4" s="1"/>
  <c r="G26" i="4"/>
  <c r="G75" i="4" s="1"/>
  <c r="G85" i="4" s="1"/>
  <c r="G102" i="4" s="1"/>
  <c r="F26" i="4"/>
  <c r="F75" i="4" s="1"/>
  <c r="F84" i="4" s="1"/>
  <c r="B26" i="4"/>
  <c r="A26" i="4"/>
  <c r="BI25" i="4" a="1"/>
  <c r="BI25" i="4" s="1"/>
  <c r="AS25" i="4"/>
  <c r="BA25" i="4" s="1"/>
  <c r="AQ25" i="4"/>
  <c r="AP25" i="4"/>
  <c r="AO25" i="4"/>
  <c r="Y25" i="4"/>
  <c r="X25" i="4"/>
  <c r="V25" i="4"/>
  <c r="U25" i="4"/>
  <c r="T25" i="4"/>
  <c r="S25" i="4"/>
  <c r="R25" i="4"/>
  <c r="Q25" i="4"/>
  <c r="P25" i="4"/>
  <c r="O25" i="4" s="1"/>
  <c r="G25" i="4"/>
  <c r="G74" i="4" s="1"/>
  <c r="G84" i="4" s="1"/>
  <c r="G101" i="4" s="1"/>
  <c r="F25" i="4"/>
  <c r="F74" i="4" s="1"/>
  <c r="B25" i="4"/>
  <c r="A25" i="4"/>
  <c r="BI24" i="4" a="1"/>
  <c r="BI24" i="4" s="1"/>
  <c r="AS24" i="4"/>
  <c r="BA24" i="4" s="1"/>
  <c r="AQ24" i="4"/>
  <c r="AP24" i="4"/>
  <c r="AO24" i="4"/>
  <c r="Y24" i="4"/>
  <c r="X24" i="4"/>
  <c r="V24" i="4"/>
  <c r="U24" i="4"/>
  <c r="U48" i="4" s="1"/>
  <c r="T24" i="4"/>
  <c r="S24" i="4"/>
  <c r="S48" i="4" s="1"/>
  <c r="R24" i="4"/>
  <c r="R48" i="4" s="1"/>
  <c r="Q24" i="4"/>
  <c r="P24" i="4"/>
  <c r="O24" i="4" s="1"/>
  <c r="G24" i="4"/>
  <c r="G73" i="4" s="1"/>
  <c r="F24" i="4"/>
  <c r="F73" i="4" s="1"/>
  <c r="F91" i="4" s="1"/>
  <c r="B24" i="4"/>
  <c r="A24" i="4"/>
  <c r="BI23" i="4"/>
  <c r="BI23" i="4" a="1"/>
  <c r="AS23" i="4"/>
  <c r="BA23" i="4" s="1"/>
  <c r="AQ23" i="4"/>
  <c r="AP23" i="4"/>
  <c r="AO23" i="4"/>
  <c r="Y23" i="4"/>
  <c r="X23" i="4"/>
  <c r="V23" i="4"/>
  <c r="U23" i="4"/>
  <c r="T23" i="4"/>
  <c r="S23" i="4"/>
  <c r="R23" i="4"/>
  <c r="Q23" i="4"/>
  <c r="P23" i="4"/>
  <c r="O23" i="4" s="1"/>
  <c r="G23" i="4"/>
  <c r="G72" i="4" s="1"/>
  <c r="G91" i="4" s="1"/>
  <c r="G92" i="4" s="1"/>
  <c r="G93" i="4" s="1"/>
  <c r="G94" i="4" s="1"/>
  <c r="G95" i="4" s="1"/>
  <c r="G96" i="4" s="1"/>
  <c r="G97" i="4" s="1"/>
  <c r="G98" i="4" s="1"/>
  <c r="G99" i="4" s="1"/>
  <c r="F23" i="4"/>
  <c r="F72" i="4" s="1"/>
  <c r="B23" i="4"/>
  <c r="A23" i="4"/>
  <c r="BI22" i="4"/>
  <c r="BI22" i="4" a="1"/>
  <c r="AS22" i="4"/>
  <c r="AQ22" i="4"/>
  <c r="AP22" i="4"/>
  <c r="AO22" i="4"/>
  <c r="Y22" i="4"/>
  <c r="Z44" i="4" s="1"/>
  <c r="C31" i="9" s="1"/>
  <c r="D31" i="9" s="1"/>
  <c r="X22" i="4"/>
  <c r="AD57" i="4" s="1"/>
  <c r="V22" i="4"/>
  <c r="U22" i="4"/>
  <c r="T22" i="4"/>
  <c r="S22" i="4"/>
  <c r="S44" i="4" s="1"/>
  <c r="R22" i="4"/>
  <c r="R44" i="4" s="1"/>
  <c r="Q22" i="4"/>
  <c r="I22" i="4" a="1"/>
  <c r="I22" i="4" s="1"/>
  <c r="F22" i="4"/>
  <c r="B22" i="4"/>
  <c r="A22" i="4"/>
  <c r="BI21" i="4" a="1"/>
  <c r="BI21" i="4" s="1"/>
  <c r="AS21" i="4"/>
  <c r="BA21" i="4" s="1"/>
  <c r="AQ21" i="4"/>
  <c r="AP21" i="4"/>
  <c r="AO21" i="4"/>
  <c r="Y21" i="4"/>
  <c r="X21" i="4"/>
  <c r="V21" i="4"/>
  <c r="U21" i="4"/>
  <c r="T21" i="4"/>
  <c r="S21" i="4"/>
  <c r="R21" i="4"/>
  <c r="Q21" i="4"/>
  <c r="P21" i="4"/>
  <c r="O21" i="4" s="1"/>
  <c r="G21" i="4"/>
  <c r="G66" i="4" s="1"/>
  <c r="F21" i="4"/>
  <c r="F66" i="4" s="1"/>
  <c r="B21" i="4"/>
  <c r="A21" i="4"/>
  <c r="BI20" i="4" a="1"/>
  <c r="BI20" i="4" s="1"/>
  <c r="AS20" i="4"/>
  <c r="AQ20" i="4"/>
  <c r="AP20" i="4"/>
  <c r="AO20" i="4"/>
  <c r="Y20" i="4"/>
  <c r="X20" i="4"/>
  <c r="W20" i="4"/>
  <c r="V20" i="4"/>
  <c r="P20" i="4"/>
  <c r="O20" i="4" s="1"/>
  <c r="J20" i="4"/>
  <c r="G20" i="4"/>
  <c r="F20" i="4"/>
  <c r="F64" i="4" s="1"/>
  <c r="B20" i="4"/>
  <c r="A20" i="4"/>
  <c r="BI19" i="4" a="1"/>
  <c r="BI19" i="4" s="1"/>
  <c r="AZ19" i="4"/>
  <c r="AT19" i="4"/>
  <c r="AS19" i="4"/>
  <c r="BA19" i="4" s="1"/>
  <c r="AQ19" i="4"/>
  <c r="AP19" i="4"/>
  <c r="AO19" i="4"/>
  <c r="Y19" i="4"/>
  <c r="X19" i="4"/>
  <c r="V19" i="4"/>
  <c r="U19" i="4"/>
  <c r="T19" i="4"/>
  <c r="S19" i="4"/>
  <c r="R19" i="4"/>
  <c r="Q19" i="4"/>
  <c r="P19" i="4"/>
  <c r="O19" i="4" s="1"/>
  <c r="G19" i="4"/>
  <c r="F19" i="4"/>
  <c r="F67" i="4" s="1"/>
  <c r="B19" i="4"/>
  <c r="A19" i="4"/>
  <c r="BI18" i="4" a="1"/>
  <c r="BI18" i="4" s="1"/>
  <c r="BA18" i="4"/>
  <c r="AZ18" i="4"/>
  <c r="AT18" i="4"/>
  <c r="AS18" i="4"/>
  <c r="AQ18" i="4"/>
  <c r="AP18" i="4"/>
  <c r="AO18" i="4"/>
  <c r="Y18" i="4"/>
  <c r="X18" i="4"/>
  <c r="AD56" i="4" s="1"/>
  <c r="V18" i="4"/>
  <c r="U18" i="4"/>
  <c r="T18" i="4"/>
  <c r="S18" i="4"/>
  <c r="R18" i="4"/>
  <c r="Q18" i="4"/>
  <c r="P18" i="4"/>
  <c r="O18" i="4"/>
  <c r="G18" i="4"/>
  <c r="G65" i="4" s="1"/>
  <c r="G64" i="4" s="1"/>
  <c r="F18" i="4"/>
  <c r="F65" i="4" s="1"/>
  <c r="B18" i="4"/>
  <c r="A18" i="4"/>
  <c r="BI17" i="4" a="1"/>
  <c r="BI17" i="4" s="1"/>
  <c r="AT17" i="4"/>
  <c r="AS17" i="4"/>
  <c r="AZ17" i="4" s="1"/>
  <c r="AQ17" i="4"/>
  <c r="AP17" i="4"/>
  <c r="AO17" i="4"/>
  <c r="Y17" i="4"/>
  <c r="Z46" i="4" s="1"/>
  <c r="C33" i="9" s="1"/>
  <c r="D33" i="9" s="1"/>
  <c r="X17" i="4"/>
  <c r="V17" i="4"/>
  <c r="U17" i="4"/>
  <c r="U46" i="4" s="1"/>
  <c r="T17" i="4"/>
  <c r="S17" i="4"/>
  <c r="R17" i="4"/>
  <c r="R46" i="4" s="1"/>
  <c r="Q17" i="4"/>
  <c r="O17" i="4"/>
  <c r="G17" i="4"/>
  <c r="G59" i="4" s="1"/>
  <c r="G132" i="4" s="1"/>
  <c r="G133" i="4" s="1"/>
  <c r="G134" i="4" s="1"/>
  <c r="F17" i="4"/>
  <c r="F59" i="4" s="1"/>
  <c r="F60" i="4" s="1"/>
  <c r="B17" i="4"/>
  <c r="A17" i="4"/>
  <c r="AW16" i="4"/>
  <c r="AV16" i="4"/>
  <c r="AU16" i="4"/>
  <c r="AT16" i="4"/>
  <c r="AN16" i="4"/>
  <c r="X16" i="4"/>
  <c r="H16" i="4"/>
  <c r="G58" i="4" s="1"/>
  <c r="AJ15" i="4"/>
  <c r="P15" i="4"/>
  <c r="AJ14" i="4"/>
  <c r="AW12" i="4"/>
  <c r="AM31" i="4" s="1"/>
  <c r="L19" i="11" s="1"/>
  <c r="T19" i="11" s="1"/>
  <c r="U57" i="8" s="1"/>
  <c r="AV12" i="4"/>
  <c r="AL31" i="4" s="1"/>
  <c r="K19" i="11" s="1"/>
  <c r="S19" i="11" s="1"/>
  <c r="T57" i="8" s="1"/>
  <c r="AT1" i="4"/>
  <c r="F32" i="8" l="1"/>
  <c r="G32" i="8"/>
  <c r="X47" i="4"/>
  <c r="C34" i="9"/>
  <c r="D34" i="9" s="1"/>
  <c r="E21" i="23"/>
  <c r="F21" i="18"/>
  <c r="K21" i="18" s="1"/>
  <c r="F21" i="8"/>
  <c r="E27" i="23"/>
  <c r="F30" i="18"/>
  <c r="K30" i="18" s="1"/>
  <c r="I44" i="4"/>
  <c r="D10" i="10"/>
  <c r="J10" i="10" s="1"/>
  <c r="P22" i="4"/>
  <c r="O22" i="4" s="1"/>
  <c r="I40" i="4"/>
  <c r="AZ27" i="4"/>
  <c r="G60" i="4"/>
  <c r="G61" i="4" s="1"/>
  <c r="G62" i="4" s="1"/>
  <c r="G63" i="4" s="1"/>
  <c r="F36" i="17"/>
  <c r="J34" i="17"/>
  <c r="J30" i="17"/>
  <c r="N25" i="17"/>
  <c r="D22" i="17"/>
  <c r="E22" i="17" s="1"/>
  <c r="N19" i="17"/>
  <c r="F36" i="12"/>
  <c r="D36" i="17"/>
  <c r="E36" i="17" s="1"/>
  <c r="N33" i="17"/>
  <c r="O33" i="17" s="1"/>
  <c r="N29" i="17"/>
  <c r="N24" i="17"/>
  <c r="C22" i="17"/>
  <c r="F19" i="17"/>
  <c r="G19" i="17" s="1"/>
  <c r="D36" i="12"/>
  <c r="E36" i="12" s="1"/>
  <c r="C36" i="17"/>
  <c r="L33" i="17"/>
  <c r="M33" i="17" s="1"/>
  <c r="L29" i="17"/>
  <c r="M29" i="17" s="1"/>
  <c r="L24" i="17"/>
  <c r="M24" i="17" s="1"/>
  <c r="M25" i="17" s="1"/>
  <c r="N21" i="17"/>
  <c r="D19" i="17"/>
  <c r="E19" i="17" s="1"/>
  <c r="C36" i="12"/>
  <c r="J33" i="17"/>
  <c r="J29" i="17"/>
  <c r="J24" i="17"/>
  <c r="F21" i="17"/>
  <c r="G21" i="17" s="1"/>
  <c r="H21" i="17" s="1"/>
  <c r="C19" i="17"/>
  <c r="N34" i="12"/>
  <c r="N30" i="12"/>
  <c r="O30" i="12" s="1"/>
  <c r="N26" i="12"/>
  <c r="J20" i="12"/>
  <c r="D21" i="12"/>
  <c r="E21" i="12" s="1"/>
  <c r="N36" i="17"/>
  <c r="C35" i="17"/>
  <c r="J31" i="17"/>
  <c r="J27" i="17"/>
  <c r="C23" i="17"/>
  <c r="F20" i="17"/>
  <c r="C18" i="17"/>
  <c r="F35" i="17"/>
  <c r="L28" i="17"/>
  <c r="M28" i="17" s="1"/>
  <c r="F22" i="17"/>
  <c r="D18" i="17"/>
  <c r="E18" i="17" s="1"/>
  <c r="J36" i="12"/>
  <c r="N31" i="12"/>
  <c r="O31" i="12" s="1"/>
  <c r="L27" i="12"/>
  <c r="M27" i="12" s="1"/>
  <c r="L20" i="12"/>
  <c r="M20" i="12" s="1"/>
  <c r="C21" i="12"/>
  <c r="D35" i="17"/>
  <c r="E35" i="17" s="1"/>
  <c r="J28" i="17"/>
  <c r="D21" i="17"/>
  <c r="E21" i="17" s="1"/>
  <c r="N35" i="12"/>
  <c r="L31" i="12"/>
  <c r="M31" i="12" s="1"/>
  <c r="J27" i="12"/>
  <c r="N19" i="12"/>
  <c r="F20" i="12"/>
  <c r="N34" i="17"/>
  <c r="O34" i="17" s="1"/>
  <c r="N27" i="17"/>
  <c r="O27" i="17" s="1"/>
  <c r="C21" i="17"/>
  <c r="L35" i="12"/>
  <c r="M35" i="12" s="1"/>
  <c r="J31" i="12"/>
  <c r="N25" i="12"/>
  <c r="N18" i="12"/>
  <c r="D20" i="12"/>
  <c r="E20" i="12" s="1"/>
  <c r="L34" i="17"/>
  <c r="M34" i="17" s="1"/>
  <c r="L27" i="17"/>
  <c r="M27" i="17" s="1"/>
  <c r="N20" i="17"/>
  <c r="O20" i="17" s="1"/>
  <c r="F35" i="12"/>
  <c r="J35" i="12"/>
  <c r="L30" i="12"/>
  <c r="M30" i="12" s="1"/>
  <c r="N24" i="12"/>
  <c r="L18" i="12"/>
  <c r="M18" i="12" s="1"/>
  <c r="M17" i="12" s="1"/>
  <c r="C20" i="12"/>
  <c r="N26" i="17"/>
  <c r="J20" i="17"/>
  <c r="C35" i="12"/>
  <c r="N29" i="12"/>
  <c r="J24" i="12"/>
  <c r="F23" i="12"/>
  <c r="N32" i="17"/>
  <c r="L20" i="17"/>
  <c r="M20" i="17" s="1"/>
  <c r="D35" i="12"/>
  <c r="E35" i="12" s="1"/>
  <c r="L34" i="12"/>
  <c r="M34" i="12" s="1"/>
  <c r="J30" i="12"/>
  <c r="L24" i="12"/>
  <c r="M24" i="12" s="1"/>
  <c r="M25" i="12" s="1"/>
  <c r="J18" i="12"/>
  <c r="F19" i="12"/>
  <c r="L32" i="17"/>
  <c r="M32" i="17" s="1"/>
  <c r="J34" i="12"/>
  <c r="D19" i="12"/>
  <c r="E19" i="12" s="1"/>
  <c r="N35" i="17"/>
  <c r="N30" i="17"/>
  <c r="O30" i="17" s="1"/>
  <c r="F23" i="17"/>
  <c r="L18" i="17"/>
  <c r="M18" i="17" s="1"/>
  <c r="M17" i="17" s="1"/>
  <c r="N32" i="12"/>
  <c r="L28" i="12"/>
  <c r="M28" i="12" s="1"/>
  <c r="N22" i="12"/>
  <c r="D22" i="12"/>
  <c r="E22" i="12" s="1"/>
  <c r="C18" i="12"/>
  <c r="L30" i="17"/>
  <c r="M30" i="17" s="1"/>
  <c r="N28" i="12"/>
  <c r="O28" i="12" s="1"/>
  <c r="F21" i="12"/>
  <c r="G21" i="12" s="1"/>
  <c r="H21" i="12" s="1"/>
  <c r="J23" i="17"/>
  <c r="L36" i="12"/>
  <c r="M36" i="12" s="1"/>
  <c r="L23" i="12"/>
  <c r="M23" i="12" s="1"/>
  <c r="N22" i="17"/>
  <c r="N21" i="12"/>
  <c r="L35" i="17"/>
  <c r="M35" i="17" s="1"/>
  <c r="N28" i="17"/>
  <c r="O28" i="17" s="1"/>
  <c r="J28" i="12"/>
  <c r="C19" i="12"/>
  <c r="J33" i="12"/>
  <c r="N23" i="17"/>
  <c r="N27" i="12"/>
  <c r="F18" i="12"/>
  <c r="D20" i="17"/>
  <c r="E20" i="17" s="1"/>
  <c r="L23" i="17"/>
  <c r="M23" i="17" s="1"/>
  <c r="N36" i="12"/>
  <c r="O36" i="12" s="1"/>
  <c r="N23" i="12"/>
  <c r="D18" i="12"/>
  <c r="E18" i="12" s="1"/>
  <c r="N20" i="12"/>
  <c r="O20" i="12" s="1"/>
  <c r="P20" i="12" s="1"/>
  <c r="L36" i="17"/>
  <c r="M36" i="17" s="1"/>
  <c r="D23" i="17"/>
  <c r="E23" i="17" s="1"/>
  <c r="N33" i="12"/>
  <c r="O33" i="12" s="1"/>
  <c r="J23" i="12"/>
  <c r="J36" i="17"/>
  <c r="L33" i="12"/>
  <c r="M33" i="12" s="1"/>
  <c r="J32" i="17"/>
  <c r="O32" i="17" s="1"/>
  <c r="N18" i="17"/>
  <c r="J32" i="12"/>
  <c r="C23" i="12"/>
  <c r="N31" i="17"/>
  <c r="O31" i="17" s="1"/>
  <c r="J18" i="17"/>
  <c r="L29" i="12"/>
  <c r="M29" i="12" s="1"/>
  <c r="F22" i="12"/>
  <c r="G79" i="12" s="1"/>
  <c r="M90" i="12" s="1"/>
  <c r="K90" i="12" s="1"/>
  <c r="J35" i="17"/>
  <c r="L31" i="17"/>
  <c r="M31" i="17" s="1"/>
  <c r="C20" i="17"/>
  <c r="L32" i="12"/>
  <c r="M32" i="12" s="1"/>
  <c r="F18" i="17"/>
  <c r="J29" i="12"/>
  <c r="D23" i="12"/>
  <c r="E23" i="12" s="1"/>
  <c r="C22" i="12"/>
  <c r="G22" i="12" s="1"/>
  <c r="AM30" i="4"/>
  <c r="L18" i="11" s="1"/>
  <c r="T18" i="11" s="1"/>
  <c r="U56" i="8" s="1"/>
  <c r="F46" i="4"/>
  <c r="H72" i="4"/>
  <c r="M72" i="4" s="1"/>
  <c r="R72" i="4" s="1"/>
  <c r="U40" i="4"/>
  <c r="L33" i="10"/>
  <c r="G46" i="4"/>
  <c r="C67" i="25"/>
  <c r="O76" i="22"/>
  <c r="C69" i="25"/>
  <c r="O78" i="22"/>
  <c r="C27" i="25"/>
  <c r="O33" i="22"/>
  <c r="C66" i="25"/>
  <c r="O75" i="22"/>
  <c r="AL30" i="4"/>
  <c r="K18" i="11" s="1"/>
  <c r="S18" i="11" s="1"/>
  <c r="T56" i="8" s="1"/>
  <c r="AL29" i="4"/>
  <c r="K17" i="11" s="1"/>
  <c r="S17" i="11" s="1"/>
  <c r="T55" i="8" s="1"/>
  <c r="N33" i="10"/>
  <c r="N35" i="8" s="1"/>
  <c r="J34" i="10"/>
  <c r="Q40" i="4"/>
  <c r="E28" i="10"/>
  <c r="K28" i="10" s="1"/>
  <c r="G10" i="18" s="1"/>
  <c r="L10" i="18" s="1"/>
  <c r="O33" i="10"/>
  <c r="O35" i="8" s="1"/>
  <c r="L34" i="10"/>
  <c r="O10" i="8"/>
  <c r="C25" i="25"/>
  <c r="O30" i="22" s="1"/>
  <c r="O29" i="22"/>
  <c r="G130" i="4"/>
  <c r="C42" i="25"/>
  <c r="O53" i="22" s="1"/>
  <c r="O40" i="22"/>
  <c r="C10" i="25"/>
  <c r="O11" i="22" s="1"/>
  <c r="O10" i="22"/>
  <c r="C11" i="25"/>
  <c r="E14" i="23"/>
  <c r="F10" i="18"/>
  <c r="K10" i="18" s="1"/>
  <c r="H43" i="4"/>
  <c r="N34" i="10"/>
  <c r="J36" i="10"/>
  <c r="C61" i="25"/>
  <c r="O70" i="22"/>
  <c r="E34" i="23"/>
  <c r="F35" i="18"/>
  <c r="K35" i="18" s="1"/>
  <c r="M33" i="10"/>
  <c r="P34" i="10"/>
  <c r="H30" i="18" s="1"/>
  <c r="K34" i="10"/>
  <c r="G30" i="18" s="1"/>
  <c r="AZ26" i="4"/>
  <c r="E61" i="23"/>
  <c r="F59" i="18"/>
  <c r="K59" i="18" s="1"/>
  <c r="F59" i="8"/>
  <c r="C48" i="25"/>
  <c r="O63" i="22"/>
  <c r="AL32" i="4"/>
  <c r="K20" i="11" s="1"/>
  <c r="S20" i="11" s="1"/>
  <c r="T58" i="8" s="1"/>
  <c r="O34" i="10"/>
  <c r="L36" i="10"/>
  <c r="L59" i="8" s="1"/>
  <c r="C18" i="25"/>
  <c r="O21" i="22" s="1"/>
  <c r="C19" i="25"/>
  <c r="O22" i="22" s="1"/>
  <c r="O19" i="22"/>
  <c r="C20" i="25"/>
  <c r="C46" i="25"/>
  <c r="O62" i="22" s="1"/>
  <c r="O61" i="22"/>
  <c r="C64" i="25"/>
  <c r="O73" i="22"/>
  <c r="E11" i="23"/>
  <c r="F12" i="18"/>
  <c r="K12" i="18" s="1"/>
  <c r="BA17" i="4"/>
  <c r="AZ25" i="4"/>
  <c r="AM32" i="4"/>
  <c r="L20" i="11" s="1"/>
  <c r="T20" i="11" s="1"/>
  <c r="U58" i="8" s="1"/>
  <c r="M36" i="10"/>
  <c r="M59" i="8" s="1"/>
  <c r="F45" i="4"/>
  <c r="C33" i="10"/>
  <c r="C63" i="25"/>
  <c r="O72" i="22"/>
  <c r="Z40" i="4"/>
  <c r="M34" i="10"/>
  <c r="P36" i="10"/>
  <c r="K36" i="10"/>
  <c r="K20" i="4"/>
  <c r="E8" i="10"/>
  <c r="K8" i="10" s="1"/>
  <c r="G20" i="18" s="1"/>
  <c r="L20" i="18" s="1"/>
  <c r="Q20" i="4"/>
  <c r="AZ28" i="4"/>
  <c r="N36" i="10"/>
  <c r="N59" i="8" s="1"/>
  <c r="C33" i="25"/>
  <c r="O41" i="22"/>
  <c r="C68" i="25"/>
  <c r="O77" i="22"/>
  <c r="C62" i="25"/>
  <c r="O71" i="22"/>
  <c r="C8" i="25"/>
  <c r="O9" i="22" s="1"/>
  <c r="O8" i="22"/>
  <c r="H77" i="4"/>
  <c r="M77" i="4" s="1"/>
  <c r="R77" i="4" s="1"/>
  <c r="AM33" i="4"/>
  <c r="L21" i="11" s="1"/>
  <c r="T21" i="11" s="1"/>
  <c r="U44" i="8" s="1"/>
  <c r="R40" i="4"/>
  <c r="G45" i="4"/>
  <c r="O36" i="10"/>
  <c r="O59" i="8" s="1"/>
  <c r="AB106" i="4"/>
  <c r="J24" i="8"/>
  <c r="C65" i="25"/>
  <c r="O74" i="22"/>
  <c r="X42" i="4"/>
  <c r="I29" i="7"/>
  <c r="AD106" i="4"/>
  <c r="M134" i="4"/>
  <c r="D98" i="4"/>
  <c r="AD98" i="4" s="1"/>
  <c r="AB102" i="4"/>
  <c r="Z102" i="4" s="1"/>
  <c r="AD102" i="4"/>
  <c r="AE102" i="4"/>
  <c r="BA102" i="4"/>
  <c r="D95" i="4"/>
  <c r="AB95" i="4" s="1"/>
  <c r="T90" i="4"/>
  <c r="H73" i="4"/>
  <c r="M73" i="4" s="1"/>
  <c r="H60" i="4"/>
  <c r="M60" i="4" s="1"/>
  <c r="R60" i="4" s="1"/>
  <c r="A103" i="4"/>
  <c r="AI81" i="4"/>
  <c r="AI90" i="4" s="1"/>
  <c r="A100" i="4"/>
  <c r="A106" i="4"/>
  <c r="AC106" i="4"/>
  <c r="AE98" i="4"/>
  <c r="D99" i="4"/>
  <c r="AE99" i="4" s="1"/>
  <c r="A102" i="4"/>
  <c r="AA106" i="4"/>
  <c r="Z106" i="4" s="1"/>
  <c r="BD82" i="4"/>
  <c r="AE95" i="4"/>
  <c r="A97" i="4"/>
  <c r="B100" i="4"/>
  <c r="B103" i="4"/>
  <c r="BA106" i="4"/>
  <c r="AC107" i="4"/>
  <c r="AE107" i="4"/>
  <c r="BC61" i="4"/>
  <c r="BC62" i="4" s="1"/>
  <c r="BD69" i="4"/>
  <c r="AC98" i="4"/>
  <c r="D94" i="4"/>
  <c r="AB94" i="4" s="1"/>
  <c r="AC102" i="4"/>
  <c r="Z132" i="4"/>
  <c r="Z114" i="4"/>
  <c r="Z130" i="4"/>
  <c r="P36" i="8"/>
  <c r="O36" i="8"/>
  <c r="N36" i="8"/>
  <c r="L36" i="8"/>
  <c r="M36" i="8"/>
  <c r="J36" i="8"/>
  <c r="S36" i="8"/>
  <c r="R36" i="8"/>
  <c r="F36" i="8"/>
  <c r="Q36" i="8"/>
  <c r="K36" i="8"/>
  <c r="U36" i="8"/>
  <c r="I36" i="8"/>
  <c r="T36" i="8"/>
  <c r="H36" i="8"/>
  <c r="G36" i="8"/>
  <c r="H6" i="8"/>
  <c r="I27" i="8"/>
  <c r="U79" i="8"/>
  <c r="I79" i="8"/>
  <c r="T79" i="8"/>
  <c r="H79" i="8"/>
  <c r="L79" i="8"/>
  <c r="S79" i="8"/>
  <c r="G79" i="8"/>
  <c r="Q79" i="8"/>
  <c r="J79" i="8"/>
  <c r="R79" i="8"/>
  <c r="F79" i="8"/>
  <c r="P79" i="8"/>
  <c r="O79" i="8"/>
  <c r="M79" i="8"/>
  <c r="K79" i="8"/>
  <c r="N79" i="8"/>
  <c r="G27" i="8"/>
  <c r="G15" i="8"/>
  <c r="G19" i="8"/>
  <c r="I32" i="8"/>
  <c r="J19" i="8"/>
  <c r="J32" i="8"/>
  <c r="H80" i="8"/>
  <c r="H81" i="8"/>
  <c r="L80" i="8"/>
  <c r="P7" i="8"/>
  <c r="I6" i="8"/>
  <c r="G14" i="8"/>
  <c r="L10" i="8"/>
  <c r="L9" i="8"/>
  <c r="J14" i="8"/>
  <c r="F15" i="8"/>
  <c r="H27" i="8"/>
  <c r="G80" i="8"/>
  <c r="L7" i="8"/>
  <c r="I14" i="8"/>
  <c r="I80" i="8"/>
  <c r="P10" i="8"/>
  <c r="I19" i="8"/>
  <c r="F28" i="8"/>
  <c r="J80" i="8"/>
  <c r="M17" i="8"/>
  <c r="F7" i="8"/>
  <c r="G28" i="8"/>
  <c r="F81" i="8"/>
  <c r="K7" i="8"/>
  <c r="H14" i="8"/>
  <c r="O17" i="8"/>
  <c r="G6" i="8"/>
  <c r="H28" i="8"/>
  <c r="G81" i="8"/>
  <c r="K18" i="8"/>
  <c r="H34" i="8"/>
  <c r="M29" i="8"/>
  <c r="F8" i="8"/>
  <c r="H16" i="8"/>
  <c r="J34" i="8"/>
  <c r="L17" i="8"/>
  <c r="F23" i="8"/>
  <c r="K17" i="8"/>
  <c r="I10" i="8"/>
  <c r="G17" i="8"/>
  <c r="G23" i="8"/>
  <c r="F30" i="8"/>
  <c r="O80" i="8"/>
  <c r="L34" i="8"/>
  <c r="G8" i="8"/>
  <c r="I16" i="8"/>
  <c r="F17" i="8"/>
  <c r="F35" i="8"/>
  <c r="N17" i="8"/>
  <c r="J10" i="8"/>
  <c r="J18" i="8"/>
  <c r="H23" i="8"/>
  <c r="O7" i="8"/>
  <c r="N9" i="8"/>
  <c r="P16" i="8"/>
  <c r="I34" i="8"/>
  <c r="H10" i="8"/>
  <c r="M10" i="8"/>
  <c r="O18" i="8"/>
  <c r="R33" i="8"/>
  <c r="S33" i="8"/>
  <c r="Q33" i="8"/>
  <c r="U16" i="8"/>
  <c r="S16" i="8"/>
  <c r="R16" i="8"/>
  <c r="Q16" i="8"/>
  <c r="I8" i="8"/>
  <c r="U9" i="8"/>
  <c r="T9" i="8"/>
  <c r="S9" i="8"/>
  <c r="R9" i="8"/>
  <c r="Q9" i="8"/>
  <c r="G33" i="8"/>
  <c r="M9" i="8"/>
  <c r="K33" i="8"/>
  <c r="L23" i="8"/>
  <c r="K23" i="8"/>
  <c r="T23" i="8"/>
  <c r="P23" i="8"/>
  <c r="U23" i="8"/>
  <c r="Q23" i="8"/>
  <c r="O23" i="8"/>
  <c r="M23" i="8"/>
  <c r="R23" i="8"/>
  <c r="S23" i="8"/>
  <c r="N23" i="8"/>
  <c r="S27" i="8"/>
  <c r="M27" i="8"/>
  <c r="R27" i="8"/>
  <c r="N27" i="8"/>
  <c r="Q27" i="8"/>
  <c r="O27" i="8"/>
  <c r="U27" i="8"/>
  <c r="L27" i="8"/>
  <c r="K27" i="8"/>
  <c r="T27" i="8"/>
  <c r="P27" i="8"/>
  <c r="L31" i="8"/>
  <c r="P31" i="8"/>
  <c r="Q31" i="8"/>
  <c r="U31" i="8"/>
  <c r="O31" i="8"/>
  <c r="T31" i="8"/>
  <c r="N31" i="8"/>
  <c r="K31" i="8"/>
  <c r="S31" i="8"/>
  <c r="M31" i="8"/>
  <c r="R31" i="8"/>
  <c r="M35" i="8"/>
  <c r="L35" i="8"/>
  <c r="S35" i="8"/>
  <c r="R35" i="8"/>
  <c r="Q35" i="8"/>
  <c r="S80" i="8"/>
  <c r="R80" i="8"/>
  <c r="P80" i="8"/>
  <c r="Q80" i="8"/>
  <c r="U80" i="8"/>
  <c r="T80" i="8"/>
  <c r="H9" i="8"/>
  <c r="F13" i="8"/>
  <c r="H15" i="8"/>
  <c r="J17" i="8"/>
  <c r="H20" i="8"/>
  <c r="J23" i="8"/>
  <c r="G26" i="8"/>
  <c r="I28" i="8"/>
  <c r="F31" i="8"/>
  <c r="H33" i="8"/>
  <c r="I81" i="8"/>
  <c r="M34" i="8"/>
  <c r="P25" i="8"/>
  <c r="L33" i="8"/>
  <c r="N7" i="8"/>
  <c r="P17" i="8"/>
  <c r="S29" i="8"/>
  <c r="R29" i="8"/>
  <c r="Q29" i="8"/>
  <c r="P29" i="8"/>
  <c r="U82" i="8"/>
  <c r="T82" i="8"/>
  <c r="L82" i="8"/>
  <c r="S82" i="8"/>
  <c r="R82" i="8"/>
  <c r="O82" i="8"/>
  <c r="Q82" i="8"/>
  <c r="N82" i="8"/>
  <c r="M82" i="8"/>
  <c r="K82" i="8"/>
  <c r="P82" i="8"/>
  <c r="F25" i="8"/>
  <c r="J29" i="8"/>
  <c r="H25" i="8"/>
  <c r="P33" i="8"/>
  <c r="N8" i="8"/>
  <c r="O30" i="8"/>
  <c r="S30" i="8"/>
  <c r="N30" i="8"/>
  <c r="L30" i="8"/>
  <c r="R30" i="8"/>
  <c r="Q30" i="8"/>
  <c r="P30" i="8"/>
  <c r="M30" i="8"/>
  <c r="K29" i="8"/>
  <c r="H17" i="8"/>
  <c r="M6" i="8"/>
  <c r="L6" i="8"/>
  <c r="U6" i="8"/>
  <c r="T6" i="8"/>
  <c r="S6" i="8"/>
  <c r="R6" i="8"/>
  <c r="O6" i="8"/>
  <c r="N6" i="8"/>
  <c r="S10" i="8"/>
  <c r="R10" i="8"/>
  <c r="Q10" i="8"/>
  <c r="U14" i="8"/>
  <c r="O14" i="8"/>
  <c r="T14" i="8"/>
  <c r="N14" i="8"/>
  <c r="S14" i="8"/>
  <c r="M14" i="8"/>
  <c r="R14" i="8"/>
  <c r="L14" i="8"/>
  <c r="Q14" i="8"/>
  <c r="K14" i="8"/>
  <c r="P14" i="8"/>
  <c r="S18" i="8"/>
  <c r="R18" i="8"/>
  <c r="Q18" i="8"/>
  <c r="G7" i="8"/>
  <c r="I9" i="8"/>
  <c r="G13" i="8"/>
  <c r="I15" i="8"/>
  <c r="F18" i="8"/>
  <c r="I20" i="8"/>
  <c r="F24" i="8"/>
  <c r="H26" i="8"/>
  <c r="I33" i="8"/>
  <c r="M16" i="8"/>
  <c r="M25" i="8"/>
  <c r="P9" i="8"/>
  <c r="N33" i="8"/>
  <c r="L18" i="8"/>
  <c r="O33" i="8"/>
  <c r="L25" i="8"/>
  <c r="L29" i="8"/>
  <c r="L16" i="8"/>
  <c r="R17" i="8"/>
  <c r="Q17" i="8"/>
  <c r="S17" i="8"/>
  <c r="F9" i="8"/>
  <c r="H7" i="8"/>
  <c r="J9" i="8"/>
  <c r="H13" i="8"/>
  <c r="G18" i="8"/>
  <c r="J20" i="8"/>
  <c r="I26" i="8"/>
  <c r="F29" i="8"/>
  <c r="H31" i="8"/>
  <c r="J33" i="8"/>
  <c r="F82" i="8"/>
  <c r="K80" i="8"/>
  <c r="M7" i="8"/>
  <c r="P8" i="8"/>
  <c r="N18" i="8"/>
  <c r="O16" i="8"/>
  <c r="Q25" i="8"/>
  <c r="K25" i="8"/>
  <c r="S25" i="8"/>
  <c r="R25" i="8"/>
  <c r="Q8" i="8"/>
  <c r="S8" i="8"/>
  <c r="R8" i="8"/>
  <c r="H8" i="8"/>
  <c r="S34" i="8"/>
  <c r="R34" i="8"/>
  <c r="Q34" i="8"/>
  <c r="I25" i="8"/>
  <c r="O29" i="8"/>
  <c r="F20" i="8"/>
  <c r="J25" i="8"/>
  <c r="F33" i="8"/>
  <c r="L8" i="8"/>
  <c r="F26" i="8"/>
  <c r="K16" i="8"/>
  <c r="U24" i="8"/>
  <c r="P24" i="8"/>
  <c r="T24" i="8"/>
  <c r="S24" i="8"/>
  <c r="R24" i="8"/>
  <c r="O24" i="8"/>
  <c r="Q24" i="8"/>
  <c r="N24" i="8"/>
  <c r="M24" i="8"/>
  <c r="L24" i="8"/>
  <c r="K24" i="8"/>
  <c r="O28" i="8"/>
  <c r="N28" i="8"/>
  <c r="M28" i="8"/>
  <c r="L28" i="8"/>
  <c r="K28" i="8"/>
  <c r="U28" i="8"/>
  <c r="T28" i="8"/>
  <c r="S28" i="8"/>
  <c r="Q28" i="8"/>
  <c r="R28" i="8"/>
  <c r="P28" i="8"/>
  <c r="R32" i="8"/>
  <c r="L32" i="8"/>
  <c r="Q32" i="8"/>
  <c r="K32" i="8"/>
  <c r="P32" i="8"/>
  <c r="O32" i="8"/>
  <c r="U32" i="8"/>
  <c r="T32" i="8"/>
  <c r="N32" i="8"/>
  <c r="S32" i="8"/>
  <c r="M32" i="8"/>
  <c r="P81" i="8"/>
  <c r="K81" i="8"/>
  <c r="S81" i="8"/>
  <c r="U81" i="8"/>
  <c r="T81" i="8"/>
  <c r="R81" i="8"/>
  <c r="L81" i="8"/>
  <c r="Q81" i="8"/>
  <c r="O81" i="8"/>
  <c r="N81" i="8"/>
  <c r="M81" i="8"/>
  <c r="F10" i="8"/>
  <c r="F16" i="8"/>
  <c r="H18" i="8"/>
  <c r="H24" i="8"/>
  <c r="G29" i="8"/>
  <c r="I31" i="8"/>
  <c r="F34" i="8"/>
  <c r="G82" i="8"/>
  <c r="K34" i="8"/>
  <c r="M33" i="8"/>
  <c r="O25" i="8"/>
  <c r="N29" i="8"/>
  <c r="O9" i="8"/>
  <c r="N80" i="8"/>
  <c r="J82" i="8"/>
  <c r="J16" i="8"/>
  <c r="G25" i="8"/>
  <c r="P26" i="8"/>
  <c r="M26" i="8"/>
  <c r="L26" i="8"/>
  <c r="K26" i="8"/>
  <c r="U26" i="8"/>
  <c r="T26" i="8"/>
  <c r="S26" i="8"/>
  <c r="R26" i="8"/>
  <c r="Q26" i="8"/>
  <c r="O26" i="8"/>
  <c r="N26" i="8"/>
  <c r="J8" i="8"/>
  <c r="S13" i="8"/>
  <c r="M13" i="8"/>
  <c r="O13" i="8"/>
  <c r="U13" i="8"/>
  <c r="T13" i="8"/>
  <c r="P13" i="8"/>
  <c r="N13" i="8"/>
  <c r="L13" i="8"/>
  <c r="Q13" i="8"/>
  <c r="K13" i="8"/>
  <c r="R13" i="8"/>
  <c r="G9" i="8"/>
  <c r="S7" i="8"/>
  <c r="R7" i="8"/>
  <c r="Q7" i="8"/>
  <c r="P15" i="8"/>
  <c r="U15" i="8"/>
  <c r="O15" i="8"/>
  <c r="Q15" i="8"/>
  <c r="M15" i="8"/>
  <c r="S15" i="8"/>
  <c r="R15" i="8"/>
  <c r="N15" i="8"/>
  <c r="T15" i="8"/>
  <c r="L15" i="8"/>
  <c r="K15" i="8"/>
  <c r="J7" i="8"/>
  <c r="G10" i="8"/>
  <c r="J13" i="8"/>
  <c r="G16" i="8"/>
  <c r="I18" i="8"/>
  <c r="I24" i="8"/>
  <c r="F27" i="8"/>
  <c r="H29" i="8"/>
  <c r="J31" i="8"/>
  <c r="G34" i="8"/>
  <c r="F80" i="8"/>
  <c r="H82" i="8"/>
  <c r="P34" i="8"/>
  <c r="M18" i="8"/>
  <c r="O8" i="8"/>
  <c r="M8" i="8"/>
  <c r="N10" i="8"/>
  <c r="N34" i="8"/>
  <c r="S12" i="8"/>
  <c r="Q12" i="8"/>
  <c r="R12" i="8"/>
  <c r="F12" i="8"/>
  <c r="Q20" i="8"/>
  <c r="P20" i="8"/>
  <c r="S20" i="8"/>
  <c r="R20" i="8"/>
  <c r="K20" i="8"/>
  <c r="Z127" i="4"/>
  <c r="Z126" i="4"/>
  <c r="Z113" i="4"/>
  <c r="Z124" i="4"/>
  <c r="Z117" i="4"/>
  <c r="Z118" i="4"/>
  <c r="Z112" i="4"/>
  <c r="Z133" i="4"/>
  <c r="F11" i="8"/>
  <c r="G11" i="8"/>
  <c r="H11" i="8"/>
  <c r="I11" i="8"/>
  <c r="U11" i="8"/>
  <c r="M11" i="8"/>
  <c r="T11" i="8"/>
  <c r="O11" i="8"/>
  <c r="S11" i="8"/>
  <c r="N11" i="8"/>
  <c r="R11" i="8"/>
  <c r="P11" i="8"/>
  <c r="Q11" i="8"/>
  <c r="L11" i="8"/>
  <c r="K11" i="8"/>
  <c r="L19" i="8"/>
  <c r="K19" i="8"/>
  <c r="S19" i="8"/>
  <c r="R19" i="8"/>
  <c r="Q19" i="8"/>
  <c r="M19" i="8"/>
  <c r="P19" i="8"/>
  <c r="O19" i="8"/>
  <c r="N19" i="8"/>
  <c r="H19" i="8"/>
  <c r="Z125" i="4"/>
  <c r="Z129" i="4"/>
  <c r="Z63" i="4"/>
  <c r="Z116" i="4"/>
  <c r="Z134" i="4"/>
  <c r="Z136" i="4"/>
  <c r="T56" i="4"/>
  <c r="U56" i="4" s="1"/>
  <c r="V56" i="4" s="1"/>
  <c r="W56" i="4" s="1"/>
  <c r="X56" i="4" s="1"/>
  <c r="Z42" i="4"/>
  <c r="Z115" i="4"/>
  <c r="Z128" i="4"/>
  <c r="Z135" i="4"/>
  <c r="Z120" i="4"/>
  <c r="Z69" i="4"/>
  <c r="T69" i="4"/>
  <c r="U62" i="4"/>
  <c r="U53" i="4"/>
  <c r="U78" i="4" s="1"/>
  <c r="T83" i="4"/>
  <c r="T89" i="4"/>
  <c r="T86" i="4"/>
  <c r="T125" i="4"/>
  <c r="T85" i="4"/>
  <c r="H66" i="4"/>
  <c r="M66" i="4" s="1"/>
  <c r="R66" i="4" s="1"/>
  <c r="F87" i="4"/>
  <c r="F96" i="4"/>
  <c r="F104" i="4"/>
  <c r="H78" i="4"/>
  <c r="M78" i="4" s="1"/>
  <c r="R78" i="4" s="1"/>
  <c r="AZ40" i="4"/>
  <c r="AZ36" i="4"/>
  <c r="H88" i="4"/>
  <c r="I88" i="4" s="1"/>
  <c r="J88" i="4" s="1"/>
  <c r="K88" i="4" s="1"/>
  <c r="L88" i="4" s="1"/>
  <c r="F69" i="4"/>
  <c r="F70" i="4" s="1"/>
  <c r="F71" i="4" s="1"/>
  <c r="F68" i="4"/>
  <c r="AC104" i="4"/>
  <c r="BA104" i="4"/>
  <c r="AE104" i="4"/>
  <c r="B104" i="4"/>
  <c r="AD104" i="4"/>
  <c r="A104" i="4"/>
  <c r="AA104" i="4"/>
  <c r="D96" i="4"/>
  <c r="AB104" i="4"/>
  <c r="H124" i="4"/>
  <c r="H64" i="4"/>
  <c r="M64" i="4" s="1"/>
  <c r="R64" i="4" s="1"/>
  <c r="AZ23" i="4"/>
  <c r="F112" i="4"/>
  <c r="H110" i="4"/>
  <c r="M110" i="4" s="1"/>
  <c r="R110" i="4" s="1"/>
  <c r="F111" i="4"/>
  <c r="AL40" i="4"/>
  <c r="K28" i="11" s="1"/>
  <c r="S28" i="11" s="1"/>
  <c r="T10" i="8" s="1"/>
  <c r="AL41" i="4"/>
  <c r="K29" i="11" s="1"/>
  <c r="S29" i="11" s="1"/>
  <c r="T25" i="8" s="1"/>
  <c r="AL33" i="4"/>
  <c r="K21" i="11" s="1"/>
  <c r="S21" i="11" s="1"/>
  <c r="T44" i="8" s="1"/>
  <c r="AL17" i="4"/>
  <c r="AL34" i="4"/>
  <c r="AL22" i="4"/>
  <c r="AL20" i="4"/>
  <c r="K8" i="11" s="1"/>
  <c r="S8" i="11" s="1"/>
  <c r="T20" i="8" s="1"/>
  <c r="AL38" i="4"/>
  <c r="K26" i="11" s="1"/>
  <c r="S26" i="11" s="1"/>
  <c r="AL26" i="4"/>
  <c r="K14" i="11" s="1"/>
  <c r="S14" i="11" s="1"/>
  <c r="T52" i="8" s="1"/>
  <c r="AL27" i="4"/>
  <c r="K15" i="11" s="1"/>
  <c r="S15" i="11" s="1"/>
  <c r="T53" i="8" s="1"/>
  <c r="AL35" i="4"/>
  <c r="K23" i="11" s="1"/>
  <c r="S23" i="11" s="1"/>
  <c r="T33" i="8" s="1"/>
  <c r="AL23" i="4"/>
  <c r="K11" i="11" s="1"/>
  <c r="S11" i="11" s="1"/>
  <c r="T49" i="8" s="1"/>
  <c r="AL21" i="4"/>
  <c r="K9" i="11" s="1"/>
  <c r="S9" i="11" s="1"/>
  <c r="T18" i="8" s="1"/>
  <c r="AL36" i="4"/>
  <c r="AL37" i="4"/>
  <c r="K25" i="11" s="1"/>
  <c r="S25" i="11" s="1"/>
  <c r="T7" i="8" s="1"/>
  <c r="AL19" i="4"/>
  <c r="K7" i="11" s="1"/>
  <c r="S7" i="11" s="1"/>
  <c r="T17" i="8" s="1"/>
  <c r="AL28" i="4"/>
  <c r="K16" i="11" s="1"/>
  <c r="S16" i="11" s="1"/>
  <c r="T54" i="8" s="1"/>
  <c r="AL24" i="4"/>
  <c r="K12" i="11" s="1"/>
  <c r="S12" i="11" s="1"/>
  <c r="T50" i="8" s="1"/>
  <c r="AL25" i="4"/>
  <c r="K13" i="11" s="1"/>
  <c r="S13" i="11" s="1"/>
  <c r="T51" i="8" s="1"/>
  <c r="AL39" i="4"/>
  <c r="AL18" i="4"/>
  <c r="K6" i="11" s="1"/>
  <c r="S6" i="11" s="1"/>
  <c r="T16" i="8" s="1"/>
  <c r="H65" i="4"/>
  <c r="M65" i="4" s="1"/>
  <c r="R65" i="4" s="1"/>
  <c r="BA20" i="4"/>
  <c r="AZ20" i="4"/>
  <c r="H47" i="4"/>
  <c r="G47" i="4"/>
  <c r="H59" i="4"/>
  <c r="M59" i="4" s="1"/>
  <c r="R59" i="4" s="1"/>
  <c r="R131" i="4" s="1"/>
  <c r="R132" i="4" s="1"/>
  <c r="R133" i="4" s="1"/>
  <c r="BA22" i="4"/>
  <c r="AZ22" i="4"/>
  <c r="X43" i="4"/>
  <c r="AB43" i="4"/>
  <c r="AB46" i="4"/>
  <c r="X46" i="4"/>
  <c r="T113" i="4"/>
  <c r="F90" i="4"/>
  <c r="F99" i="4"/>
  <c r="F107" i="4"/>
  <c r="H81" i="4"/>
  <c r="M81" i="4" s="1"/>
  <c r="R81" i="4" s="1"/>
  <c r="P44" i="4"/>
  <c r="O44" i="4" s="1"/>
  <c r="A91" i="4"/>
  <c r="B91" i="4"/>
  <c r="BA91" i="4"/>
  <c r="AB91" i="4"/>
  <c r="AA91" i="4"/>
  <c r="AD91" i="4"/>
  <c r="AC91" i="4"/>
  <c r="AE91" i="4"/>
  <c r="H113" i="4"/>
  <c r="M113" i="4" s="1"/>
  <c r="R113" i="4" s="1"/>
  <c r="F94" i="4"/>
  <c r="F85" i="4"/>
  <c r="H76" i="4"/>
  <c r="M76" i="4" s="1"/>
  <c r="R76" i="4" s="1"/>
  <c r="F102" i="4"/>
  <c r="F89" i="4"/>
  <c r="H80" i="4"/>
  <c r="M80" i="4" s="1"/>
  <c r="R80" i="4" s="1"/>
  <c r="AZ21" i="4"/>
  <c r="AZ24" i="4"/>
  <c r="H79" i="4"/>
  <c r="M79" i="4" s="1"/>
  <c r="R79" i="4" s="1"/>
  <c r="F97" i="4"/>
  <c r="F105" i="4"/>
  <c r="AB47" i="4"/>
  <c r="Z77" i="4"/>
  <c r="Z86" i="4" s="1"/>
  <c r="Z76" i="4"/>
  <c r="Z85" i="4" s="1"/>
  <c r="Z79" i="4"/>
  <c r="Z88" i="4" s="1"/>
  <c r="Z80" i="4"/>
  <c r="Z89" i="4" s="1"/>
  <c r="Z81" i="4"/>
  <c r="Z90" i="4" s="1"/>
  <c r="Z78" i="4"/>
  <c r="Z87" i="4" s="1"/>
  <c r="Z75" i="4"/>
  <c r="Z84" i="4" s="1"/>
  <c r="Z72" i="4"/>
  <c r="AD55" i="4"/>
  <c r="S65" i="4" s="1"/>
  <c r="Z74" i="4"/>
  <c r="AZ35" i="4"/>
  <c r="AM41" i="4"/>
  <c r="L29" i="11" s="1"/>
  <c r="T29" i="11" s="1"/>
  <c r="U25" i="8" s="1"/>
  <c r="AM34" i="4"/>
  <c r="AM22" i="4"/>
  <c r="AM20" i="4"/>
  <c r="L8" i="11" s="1"/>
  <c r="T8" i="11" s="1"/>
  <c r="U20" i="8" s="1"/>
  <c r="AM18" i="4"/>
  <c r="L6" i="11" s="1"/>
  <c r="T6" i="11" s="1"/>
  <c r="AM40" i="4"/>
  <c r="L28" i="11" s="1"/>
  <c r="T28" i="11" s="1"/>
  <c r="U10" i="8" s="1"/>
  <c r="AM35" i="4"/>
  <c r="L23" i="11" s="1"/>
  <c r="T23" i="11" s="1"/>
  <c r="U33" i="8" s="1"/>
  <c r="AM23" i="4"/>
  <c r="L11" i="11" s="1"/>
  <c r="T11" i="11" s="1"/>
  <c r="U49" i="8" s="1"/>
  <c r="AM21" i="4"/>
  <c r="L9" i="11" s="1"/>
  <c r="T9" i="11" s="1"/>
  <c r="U18" i="8" s="1"/>
  <c r="AM26" i="4"/>
  <c r="L14" i="11" s="1"/>
  <c r="T14" i="11" s="1"/>
  <c r="U52" i="8" s="1"/>
  <c r="AM39" i="4"/>
  <c r="AM19" i="4"/>
  <c r="L7" i="11" s="1"/>
  <c r="T7" i="11" s="1"/>
  <c r="U17" i="8" s="1"/>
  <c r="AM29" i="4"/>
  <c r="L17" i="11" s="1"/>
  <c r="T17" i="11" s="1"/>
  <c r="U55" i="8" s="1"/>
  <c r="AM36" i="4"/>
  <c r="AM24" i="4"/>
  <c r="AM37" i="4"/>
  <c r="L25" i="11" s="1"/>
  <c r="T25" i="11" s="1"/>
  <c r="U7" i="8" s="1"/>
  <c r="AM25" i="4"/>
  <c r="L13" i="11" s="1"/>
  <c r="T13" i="11" s="1"/>
  <c r="U51" i="8" s="1"/>
  <c r="AM38" i="4"/>
  <c r="L26" i="11" s="1"/>
  <c r="T26" i="11" s="1"/>
  <c r="AM27" i="4"/>
  <c r="L15" i="11" s="1"/>
  <c r="T15" i="11" s="1"/>
  <c r="U53" i="8" s="1"/>
  <c r="AM17" i="4"/>
  <c r="AM28" i="4"/>
  <c r="L16" i="11" s="1"/>
  <c r="T16" i="11" s="1"/>
  <c r="U54" i="8" s="1"/>
  <c r="O34" i="4"/>
  <c r="X45" i="4"/>
  <c r="AB45" i="4"/>
  <c r="F61" i="4"/>
  <c r="F131" i="4"/>
  <c r="I77" i="4"/>
  <c r="N77" i="4" s="1"/>
  <c r="F95" i="4"/>
  <c r="F86" i="4"/>
  <c r="F103" i="4"/>
  <c r="BA34" i="4"/>
  <c r="AZ34" i="4"/>
  <c r="Z66" i="4"/>
  <c r="Z110" i="4"/>
  <c r="Z111" i="4" s="1"/>
  <c r="T132" i="4"/>
  <c r="T117" i="4"/>
  <c r="I72" i="4"/>
  <c r="N72" i="4" s="1"/>
  <c r="R73" i="4"/>
  <c r="M91" i="4"/>
  <c r="R91" i="4" s="1"/>
  <c r="F106" i="4"/>
  <c r="F101" i="4"/>
  <c r="H75" i="4"/>
  <c r="AZ30" i="4"/>
  <c r="S73" i="4"/>
  <c r="T73" i="4"/>
  <c r="AC100" i="4"/>
  <c r="F109" i="4"/>
  <c r="AT136" i="4"/>
  <c r="AE97" i="4"/>
  <c r="B97" i="4"/>
  <c r="AB97" i="4"/>
  <c r="Z97" i="4" s="1"/>
  <c r="AH132" i="4"/>
  <c r="AH134" i="4" s="1"/>
  <c r="AH133" i="4"/>
  <c r="AI132" i="4"/>
  <c r="AI134" i="4" s="1"/>
  <c r="AI133" i="4"/>
  <c r="H84" i="4"/>
  <c r="I84" i="4" s="1"/>
  <c r="H118" i="4"/>
  <c r="M118" i="4" s="1"/>
  <c r="R118" i="4" s="1"/>
  <c r="G135" i="4"/>
  <c r="F93" i="4"/>
  <c r="H130" i="4"/>
  <c r="M130" i="4" s="1"/>
  <c r="R130" i="4" s="1"/>
  <c r="I73" i="4"/>
  <c r="F82" i="4"/>
  <c r="F119" i="4"/>
  <c r="F117" i="4"/>
  <c r="H116" i="4"/>
  <c r="M116" i="4" s="1"/>
  <c r="R116" i="4" s="1"/>
  <c r="AB44" i="4"/>
  <c r="X44" i="4"/>
  <c r="T114" i="4"/>
  <c r="U68" i="4"/>
  <c r="S71" i="4"/>
  <c r="G22" i="4"/>
  <c r="G67" i="4" s="1"/>
  <c r="G68" i="4" s="1"/>
  <c r="G69" i="4" s="1"/>
  <c r="G83" i="4"/>
  <c r="G100" i="4" s="1"/>
  <c r="G82" i="4"/>
  <c r="AZ29" i="4"/>
  <c r="F114" i="4"/>
  <c r="H115" i="4"/>
  <c r="M115" i="4" s="1"/>
  <c r="R115" i="4" s="1"/>
  <c r="P48" i="4"/>
  <c r="O48" i="4" s="1"/>
  <c r="U57" i="4"/>
  <c r="U128" i="4" s="1"/>
  <c r="U67" i="4"/>
  <c r="AC97" i="4"/>
  <c r="AD131" i="4"/>
  <c r="AC131" i="4"/>
  <c r="A131" i="4"/>
  <c r="AA131" i="4"/>
  <c r="AB131" i="4"/>
  <c r="BA100" i="4"/>
  <c r="AE100" i="4"/>
  <c r="D92" i="4"/>
  <c r="AB100" i="4"/>
  <c r="AA100" i="4"/>
  <c r="AZ33" i="4"/>
  <c r="F127" i="4"/>
  <c r="F125" i="4"/>
  <c r="H108" i="4"/>
  <c r="M108" i="4" s="1"/>
  <c r="R108" i="4" s="1"/>
  <c r="F100" i="4"/>
  <c r="F92" i="4"/>
  <c r="F83" i="4"/>
  <c r="H74" i="4"/>
  <c r="M74" i="4" s="1"/>
  <c r="R74" i="4" s="1"/>
  <c r="F121" i="4"/>
  <c r="H122" i="4"/>
  <c r="M122" i="4" s="1"/>
  <c r="R122" i="4" s="1"/>
  <c r="G109" i="4"/>
  <c r="G123" i="4"/>
  <c r="H123" i="4" s="1"/>
  <c r="M123" i="4" s="1"/>
  <c r="R123" i="4" s="1"/>
  <c r="O36" i="4"/>
  <c r="AF42" i="4"/>
  <c r="AY137" i="4"/>
  <c r="AX137" i="4"/>
  <c r="AW137" i="4"/>
  <c r="AU137" i="4"/>
  <c r="AV137" i="4"/>
  <c r="AD97" i="4"/>
  <c r="D93" i="4"/>
  <c r="AE101" i="4"/>
  <c r="AC101" i="4"/>
  <c r="AD101" i="4"/>
  <c r="B101" i="4"/>
  <c r="AB101" i="4"/>
  <c r="A101" i="4"/>
  <c r="AA101" i="4"/>
  <c r="T130" i="4"/>
  <c r="AB48" i="4"/>
  <c r="X48" i="4"/>
  <c r="AZ32" i="4"/>
  <c r="AD105" i="4"/>
  <c r="BA105" i="4"/>
  <c r="AC105" i="4"/>
  <c r="AE105" i="4"/>
  <c r="AB105" i="4"/>
  <c r="B105" i="4"/>
  <c r="AA105" i="4"/>
  <c r="A105" i="4"/>
  <c r="AZ31" i="4"/>
  <c r="B98" i="4"/>
  <c r="A98" i="4"/>
  <c r="AB98" i="4"/>
  <c r="BA107" i="4"/>
  <c r="AB107" i="4"/>
  <c r="AA107" i="4"/>
  <c r="AD107" i="4"/>
  <c r="Z119" i="4"/>
  <c r="G131" i="4"/>
  <c r="H129" i="4"/>
  <c r="M129" i="4" s="1"/>
  <c r="R129" i="4" s="1"/>
  <c r="I129" i="4"/>
  <c r="T88" i="4"/>
  <c r="BC118" i="4"/>
  <c r="AH109" i="4"/>
  <c r="U66" i="4"/>
  <c r="T84" i="4"/>
  <c r="T87" i="4"/>
  <c r="T129" i="4"/>
  <c r="AA95" i="4"/>
  <c r="Z95" i="4" s="1"/>
  <c r="B95" i="4"/>
  <c r="A95" i="4"/>
  <c r="AD95" i="4"/>
  <c r="Z122" i="4"/>
  <c r="S132" i="4"/>
  <c r="S135" i="4"/>
  <c r="AB103" i="4"/>
  <c r="AC103" i="4"/>
  <c r="AA103" i="4"/>
  <c r="AD103" i="4"/>
  <c r="BA103" i="4"/>
  <c r="Z108" i="4"/>
  <c r="Z109" i="4" s="1"/>
  <c r="S125" i="4"/>
  <c r="S109" i="4" s="1"/>
  <c r="B102" i="4"/>
  <c r="B106" i="4"/>
  <c r="L30" i="18" l="1"/>
  <c r="J9" i="20" s="1"/>
  <c r="C78" i="25"/>
  <c r="O96" i="22" s="1"/>
  <c r="O87" i="22"/>
  <c r="N46" i="17"/>
  <c r="I8" i="17"/>
  <c r="O18" i="17"/>
  <c r="P18" i="17" s="1"/>
  <c r="AD34" i="17"/>
  <c r="P34" i="17"/>
  <c r="O36" i="17"/>
  <c r="D28" i="10"/>
  <c r="J28" i="10" s="1"/>
  <c r="P40" i="4"/>
  <c r="O40" i="4" s="1"/>
  <c r="G40" i="4"/>
  <c r="AC48" i="4"/>
  <c r="E35" i="9"/>
  <c r="G59" i="8" s="1"/>
  <c r="AC47" i="4"/>
  <c r="E34" i="9"/>
  <c r="G46" i="8" s="1"/>
  <c r="AL45" i="4"/>
  <c r="K33" i="11" s="1"/>
  <c r="S33" i="11" s="1"/>
  <c r="T35" i="8" s="1"/>
  <c r="K24" i="11"/>
  <c r="S24" i="11" s="1"/>
  <c r="T34" i="8" s="1"/>
  <c r="C12" i="25"/>
  <c r="O12" i="22"/>
  <c r="G78" i="17"/>
  <c r="F46" i="17"/>
  <c r="G18" i="17"/>
  <c r="AD32" i="17"/>
  <c r="P32" i="17"/>
  <c r="AD30" i="17"/>
  <c r="P30" i="17"/>
  <c r="G77" i="12"/>
  <c r="G20" i="12"/>
  <c r="G36" i="12"/>
  <c r="C34" i="25"/>
  <c r="O42" i="22"/>
  <c r="J14" i="23"/>
  <c r="F14" i="23"/>
  <c r="G72" i="17"/>
  <c r="G23" i="17"/>
  <c r="P31" i="12"/>
  <c r="AD31" i="12"/>
  <c r="AC45" i="4"/>
  <c r="E32" i="9"/>
  <c r="G35" i="8" s="1"/>
  <c r="K10" i="8"/>
  <c r="C27" i="9"/>
  <c r="X40" i="4"/>
  <c r="Y40" i="4"/>
  <c r="J11" i="23"/>
  <c r="F11" i="23"/>
  <c r="C76" i="25"/>
  <c r="O85" i="22"/>
  <c r="F46" i="12"/>
  <c r="G18" i="12"/>
  <c r="G78" i="12"/>
  <c r="M88" i="12" s="1"/>
  <c r="K88" i="12" s="1"/>
  <c r="O23" i="17"/>
  <c r="P23" i="17" s="1"/>
  <c r="O35" i="17"/>
  <c r="G23" i="12"/>
  <c r="G72" i="12"/>
  <c r="P20" i="17"/>
  <c r="F47" i="4"/>
  <c r="C35" i="10"/>
  <c r="C73" i="25"/>
  <c r="O82" i="22"/>
  <c r="P33" i="10"/>
  <c r="K33" i="10"/>
  <c r="AD33" i="12"/>
  <c r="P33" i="12"/>
  <c r="G35" i="12"/>
  <c r="O35" i="12"/>
  <c r="G35" i="17"/>
  <c r="O34" i="12"/>
  <c r="J27" i="23"/>
  <c r="F27" i="23"/>
  <c r="AM48" i="4"/>
  <c r="L36" i="11" s="1"/>
  <c r="T36" i="11" s="1"/>
  <c r="U59" i="8" s="1"/>
  <c r="L12" i="11"/>
  <c r="T12" i="11" s="1"/>
  <c r="U50" i="8" s="1"/>
  <c r="AL46" i="4"/>
  <c r="K34" i="11" s="1"/>
  <c r="S34" i="11" s="1"/>
  <c r="T30" i="8" s="1"/>
  <c r="K5" i="11"/>
  <c r="S5" i="11" s="1"/>
  <c r="T29" i="8" s="1"/>
  <c r="AD36" i="12"/>
  <c r="P36" i="12"/>
  <c r="AF36" i="12" s="1"/>
  <c r="AM43" i="4"/>
  <c r="L31" i="11" s="1"/>
  <c r="T31" i="11" s="1"/>
  <c r="U12" i="8" s="1"/>
  <c r="L27" i="11"/>
  <c r="T27" i="11" s="1"/>
  <c r="U8" i="8" s="1"/>
  <c r="G22" i="17"/>
  <c r="G79" i="17"/>
  <c r="M90" i="17" s="1"/>
  <c r="K90" i="17" s="1"/>
  <c r="L90" i="17" s="1"/>
  <c r="O29" i="12"/>
  <c r="P30" i="12"/>
  <c r="AD30" i="12"/>
  <c r="AC46" i="4"/>
  <c r="E33" i="9"/>
  <c r="G30" i="8" s="1"/>
  <c r="AM46" i="4"/>
  <c r="L34" i="11" s="1"/>
  <c r="T34" i="11" s="1"/>
  <c r="U30" i="8" s="1"/>
  <c r="L5" i="11"/>
  <c r="T5" i="11" s="1"/>
  <c r="U29" i="8" s="1"/>
  <c r="AC43" i="4"/>
  <c r="E30" i="9"/>
  <c r="G12" i="8" s="1"/>
  <c r="AA98" i="4"/>
  <c r="C74" i="25"/>
  <c r="O83" i="22"/>
  <c r="C49" i="25"/>
  <c r="O64" i="22"/>
  <c r="C70" i="25"/>
  <c r="O79" i="22"/>
  <c r="K114" i="12"/>
  <c r="L90" i="12"/>
  <c r="G19" i="12"/>
  <c r="H19" i="12" s="1"/>
  <c r="O18" i="12"/>
  <c r="P18" i="12" s="1"/>
  <c r="I8" i="12"/>
  <c r="N46" i="12"/>
  <c r="U46" i="12" s="1"/>
  <c r="W46" i="12" s="1"/>
  <c r="O27" i="12"/>
  <c r="C72" i="25"/>
  <c r="O81" i="22"/>
  <c r="K30" i="8"/>
  <c r="H91" i="4"/>
  <c r="C21" i="25"/>
  <c r="O23" i="22"/>
  <c r="G20" i="17"/>
  <c r="G77" i="17"/>
  <c r="H19" i="17"/>
  <c r="G36" i="17"/>
  <c r="AC44" i="4"/>
  <c r="E31" i="9"/>
  <c r="G21" i="8" s="1"/>
  <c r="AL43" i="4"/>
  <c r="K31" i="11" s="1"/>
  <c r="S31" i="11" s="1"/>
  <c r="T12" i="8" s="1"/>
  <c r="K27" i="11"/>
  <c r="S27" i="11" s="1"/>
  <c r="T8" i="8" s="1"/>
  <c r="C71" i="25"/>
  <c r="O80" i="22"/>
  <c r="C75" i="25"/>
  <c r="O84" i="22"/>
  <c r="J33" i="10"/>
  <c r="AD28" i="17"/>
  <c r="P28" i="17"/>
  <c r="J21" i="23"/>
  <c r="F21" i="23"/>
  <c r="AM44" i="4"/>
  <c r="L32" i="11" s="1"/>
  <c r="T32" i="11" s="1"/>
  <c r="U21" i="8" s="1"/>
  <c r="L10" i="11"/>
  <c r="T10" i="11" s="1"/>
  <c r="U19" i="8" s="1"/>
  <c r="AD33" i="17"/>
  <c r="P33" i="17"/>
  <c r="AM45" i="4"/>
  <c r="L33" i="11" s="1"/>
  <c r="T33" i="11" s="1"/>
  <c r="U35" i="8" s="1"/>
  <c r="L24" i="11"/>
  <c r="T24" i="11" s="1"/>
  <c r="U34" i="8" s="1"/>
  <c r="J34" i="23"/>
  <c r="F34" i="23"/>
  <c r="AD28" i="12"/>
  <c r="P28" i="12"/>
  <c r="AL44" i="4"/>
  <c r="K32" i="11" s="1"/>
  <c r="S32" i="11" s="1"/>
  <c r="T21" i="8" s="1"/>
  <c r="K10" i="11"/>
  <c r="S10" i="11" s="1"/>
  <c r="T19" i="8" s="1"/>
  <c r="L20" i="4"/>
  <c r="F8" i="10"/>
  <c r="L8" i="10" s="1"/>
  <c r="L20" i="8" s="1"/>
  <c r="R20" i="4"/>
  <c r="J61" i="23"/>
  <c r="F61" i="23"/>
  <c r="AD31" i="17"/>
  <c r="P31" i="17"/>
  <c r="O29" i="17"/>
  <c r="G71" i="17"/>
  <c r="O24" i="17"/>
  <c r="E49" i="23"/>
  <c r="F46" i="8"/>
  <c r="F46" i="18"/>
  <c r="K46" i="18" s="1"/>
  <c r="P59" i="8"/>
  <c r="H59" i="18"/>
  <c r="AD27" i="17"/>
  <c r="P27" i="17"/>
  <c r="AM47" i="4"/>
  <c r="L35" i="11" s="1"/>
  <c r="T35" i="11" s="1"/>
  <c r="U46" i="8" s="1"/>
  <c r="L22" i="11"/>
  <c r="T22" i="11" s="1"/>
  <c r="U45" i="8" s="1"/>
  <c r="D32" i="10"/>
  <c r="H44" i="4"/>
  <c r="G44" i="4"/>
  <c r="AL47" i="4"/>
  <c r="K35" i="11" s="1"/>
  <c r="S35" i="11" s="1"/>
  <c r="T46" i="8" s="1"/>
  <c r="K22" i="11"/>
  <c r="S22" i="11" s="1"/>
  <c r="T45" i="8" s="1"/>
  <c r="AC95" i="4"/>
  <c r="C77" i="25"/>
  <c r="O86" i="22"/>
  <c r="G59" i="18"/>
  <c r="K59" i="8"/>
  <c r="F43" i="4"/>
  <c r="C31" i="10"/>
  <c r="C38" i="25"/>
  <c r="O49" i="22" s="1"/>
  <c r="O34" i="22"/>
  <c r="C28" i="25"/>
  <c r="H22" i="12"/>
  <c r="H79" i="12"/>
  <c r="O23" i="12"/>
  <c r="P23" i="12" s="1"/>
  <c r="O32" i="12"/>
  <c r="O24" i="12"/>
  <c r="G71" i="12"/>
  <c r="Z98" i="4"/>
  <c r="AG42" i="4"/>
  <c r="E30" i="11"/>
  <c r="M30" i="11" s="1"/>
  <c r="AB42" i="4"/>
  <c r="AC42" i="4" s="1"/>
  <c r="AD42" i="4" s="1"/>
  <c r="AE42" i="4" s="1"/>
  <c r="E44" i="23"/>
  <c r="F12" i="2"/>
  <c r="F14" i="2" s="1"/>
  <c r="F38" i="2" s="1"/>
  <c r="J39" i="18"/>
  <c r="K39" i="18" s="1"/>
  <c r="I60" i="4"/>
  <c r="N60" i="4" s="1"/>
  <c r="I65" i="4"/>
  <c r="N65" i="4" s="1"/>
  <c r="AC99" i="4"/>
  <c r="A99" i="4"/>
  <c r="AD99" i="4"/>
  <c r="AA99" i="4"/>
  <c r="AB99" i="4"/>
  <c r="B99" i="4"/>
  <c r="AC94" i="4"/>
  <c r="I116" i="4"/>
  <c r="I78" i="4"/>
  <c r="N78" i="4" s="1"/>
  <c r="BD61" i="4"/>
  <c r="AE94" i="4"/>
  <c r="I74" i="4"/>
  <c r="N74" i="4" s="1"/>
  <c r="AD94" i="4"/>
  <c r="A94" i="4"/>
  <c r="Z107" i="4"/>
  <c r="B94" i="4"/>
  <c r="Z123" i="4"/>
  <c r="AA94" i="4"/>
  <c r="Z94" i="4" s="1"/>
  <c r="Z103" i="4"/>
  <c r="U113" i="4"/>
  <c r="Z105" i="4"/>
  <c r="U112" i="4"/>
  <c r="U83" i="4"/>
  <c r="U81" i="4"/>
  <c r="U84" i="4"/>
  <c r="U87" i="4"/>
  <c r="U90" i="4"/>
  <c r="U74" i="4"/>
  <c r="V53" i="4"/>
  <c r="V78" i="4" s="1"/>
  <c r="U89" i="4"/>
  <c r="Z91" i="4"/>
  <c r="Z137" i="4"/>
  <c r="AA136" i="4"/>
  <c r="U116" i="4"/>
  <c r="U111" i="4"/>
  <c r="U72" i="4"/>
  <c r="U85" i="4"/>
  <c r="U77" i="4"/>
  <c r="U86" i="4"/>
  <c r="U59" i="4"/>
  <c r="U131" i="4" s="1"/>
  <c r="U110" i="4"/>
  <c r="U80" i="4"/>
  <c r="U76" i="4"/>
  <c r="U70" i="4"/>
  <c r="U88" i="4"/>
  <c r="U79" i="4"/>
  <c r="U109" i="4"/>
  <c r="U75" i="4"/>
  <c r="U108" i="4"/>
  <c r="I101" i="4"/>
  <c r="N84" i="4"/>
  <c r="J84" i="4"/>
  <c r="L105" i="4"/>
  <c r="Q88" i="4"/>
  <c r="H83" i="4"/>
  <c r="H82" i="4"/>
  <c r="M82" i="4" s="1"/>
  <c r="R82" i="4" s="1"/>
  <c r="S126" i="4"/>
  <c r="S118" i="4"/>
  <c r="T71" i="4"/>
  <c r="H111" i="4"/>
  <c r="M111" i="4" s="1"/>
  <c r="R111" i="4" s="1"/>
  <c r="G126" i="4"/>
  <c r="G121" i="4"/>
  <c r="H121" i="4" s="1"/>
  <c r="M121" i="4" s="1"/>
  <c r="R121" i="4" s="1"/>
  <c r="G125" i="4"/>
  <c r="G128" i="4" s="1"/>
  <c r="H109" i="4"/>
  <c r="M109" i="4" s="1"/>
  <c r="R109" i="4" s="1"/>
  <c r="U130" i="4"/>
  <c r="Z83" i="4"/>
  <c r="H85" i="4"/>
  <c r="H90" i="4"/>
  <c r="I90" i="4" s="1"/>
  <c r="U129" i="4"/>
  <c r="F126" i="4"/>
  <c r="F128" i="4"/>
  <c r="H114" i="4"/>
  <c r="M114" i="4" s="1"/>
  <c r="R114" i="4" s="1"/>
  <c r="Z65" i="4"/>
  <c r="S64" i="4"/>
  <c r="S60" i="4"/>
  <c r="S133" i="4"/>
  <c r="T133" i="4" s="1"/>
  <c r="U133" i="4" s="1"/>
  <c r="U65" i="4"/>
  <c r="F120" i="4"/>
  <c r="H117" i="4"/>
  <c r="M117" i="4" s="1"/>
  <c r="R117" i="4" s="1"/>
  <c r="B92" i="4"/>
  <c r="AA92" i="4"/>
  <c r="AC92" i="4"/>
  <c r="AE92" i="4"/>
  <c r="AB92" i="4"/>
  <c r="A92" i="4"/>
  <c r="BA92" i="4"/>
  <c r="AD92" i="4"/>
  <c r="H119" i="4"/>
  <c r="M119" i="4" s="1"/>
  <c r="R119" i="4" s="1"/>
  <c r="H87" i="4"/>
  <c r="I87" i="4" s="1"/>
  <c r="H86" i="4"/>
  <c r="I64" i="4"/>
  <c r="I81" i="4"/>
  <c r="H68" i="4"/>
  <c r="M68" i="4" s="1"/>
  <c r="R68" i="4" s="1"/>
  <c r="AD93" i="4"/>
  <c r="AC93" i="4"/>
  <c r="AB93" i="4"/>
  <c r="AA93" i="4"/>
  <c r="B93" i="4"/>
  <c r="A93" i="4"/>
  <c r="BA93" i="4"/>
  <c r="AE93" i="4"/>
  <c r="U123" i="4"/>
  <c r="U115" i="4"/>
  <c r="U119" i="4"/>
  <c r="U122" i="4"/>
  <c r="V57" i="4"/>
  <c r="V68" i="4"/>
  <c r="U120" i="4"/>
  <c r="I123" i="4"/>
  <c r="S82" i="4"/>
  <c r="T82" i="4" s="1"/>
  <c r="U82" i="4" s="1"/>
  <c r="Z73" i="4"/>
  <c r="U117" i="4"/>
  <c r="I76" i="4"/>
  <c r="M124" i="4"/>
  <c r="R124" i="4" s="1"/>
  <c r="I124" i="4"/>
  <c r="J77" i="4"/>
  <c r="U124" i="4"/>
  <c r="H67" i="4"/>
  <c r="U134" i="4"/>
  <c r="R135" i="4"/>
  <c r="R134" i="4"/>
  <c r="AC96" i="4"/>
  <c r="AB96" i="4"/>
  <c r="AA96" i="4"/>
  <c r="AE96" i="4"/>
  <c r="A96" i="4"/>
  <c r="B96" i="4"/>
  <c r="AD96" i="4"/>
  <c r="I66" i="4"/>
  <c r="H112" i="4"/>
  <c r="M112" i="4" s="1"/>
  <c r="R112" i="4" s="1"/>
  <c r="Z131" i="4"/>
  <c r="U127" i="4"/>
  <c r="Z101" i="4"/>
  <c r="H127" i="4"/>
  <c r="M127" i="4" s="1"/>
  <c r="R127" i="4" s="1"/>
  <c r="J72" i="4"/>
  <c r="M88" i="4"/>
  <c r="H105" i="4"/>
  <c r="H97" i="4" s="1"/>
  <c r="V62" i="4"/>
  <c r="K105" i="4"/>
  <c r="P88" i="4"/>
  <c r="P69" i="4"/>
  <c r="N69" i="4"/>
  <c r="G70" i="4"/>
  <c r="Q69" i="4"/>
  <c r="O69" i="4"/>
  <c r="M69" i="4"/>
  <c r="R69" i="4" s="1"/>
  <c r="BC119" i="4"/>
  <c r="BD118" i="4"/>
  <c r="AX136" i="4"/>
  <c r="AW136" i="4"/>
  <c r="AU136" i="4"/>
  <c r="AY136" i="4"/>
  <c r="AV136" i="4"/>
  <c r="H61" i="4"/>
  <c r="M61" i="4" s="1"/>
  <c r="R61" i="4" s="1"/>
  <c r="F62" i="4"/>
  <c r="U114" i="4"/>
  <c r="I130" i="4"/>
  <c r="U69" i="4"/>
  <c r="I110" i="4"/>
  <c r="F132" i="4"/>
  <c r="H131" i="4"/>
  <c r="I131" i="4" s="1"/>
  <c r="J131" i="4" s="1"/>
  <c r="K131" i="4" s="1"/>
  <c r="L131" i="4" s="1"/>
  <c r="I122" i="4"/>
  <c r="I115" i="4"/>
  <c r="M75" i="4"/>
  <c r="R75" i="4" s="1"/>
  <c r="I75" i="4"/>
  <c r="I105" i="4"/>
  <c r="N88" i="4"/>
  <c r="Z104" i="4"/>
  <c r="BC63" i="4"/>
  <c r="BD63" i="4" s="1"/>
  <c r="BD62" i="4"/>
  <c r="I79" i="4"/>
  <c r="H89" i="4"/>
  <c r="I113" i="4"/>
  <c r="I59" i="4"/>
  <c r="I118" i="4"/>
  <c r="N73" i="4"/>
  <c r="I91" i="4"/>
  <c r="N91" i="4" s="1"/>
  <c r="J73" i="4"/>
  <c r="I108" i="4"/>
  <c r="O88" i="4"/>
  <c r="J105" i="4"/>
  <c r="N129" i="4"/>
  <c r="J129" i="4"/>
  <c r="H101" i="4"/>
  <c r="H93" i="4" s="1"/>
  <c r="M84" i="4"/>
  <c r="U121" i="4"/>
  <c r="Z100" i="4"/>
  <c r="I80" i="4"/>
  <c r="C84" i="25" l="1"/>
  <c r="O102" i="22" s="1"/>
  <c r="O93" i="22"/>
  <c r="H72" i="17"/>
  <c r="H23" i="17"/>
  <c r="G61" i="23"/>
  <c r="K61" i="23"/>
  <c r="F79" i="22" s="1"/>
  <c r="C79" i="25"/>
  <c r="O97" i="22" s="1"/>
  <c r="O88" i="22"/>
  <c r="C82" i="25"/>
  <c r="O100" i="22" s="1"/>
  <c r="O91" i="22"/>
  <c r="C85" i="25"/>
  <c r="O103" i="22" s="1"/>
  <c r="O94" i="22"/>
  <c r="H18" i="17"/>
  <c r="H78" i="17"/>
  <c r="C22" i="25"/>
  <c r="O24" i="22"/>
  <c r="AD46" i="4"/>
  <c r="F33" i="9"/>
  <c r="H30" i="8" s="1"/>
  <c r="L59" i="18"/>
  <c r="J16" i="20" s="1"/>
  <c r="C80" i="25"/>
  <c r="O98" i="22" s="1"/>
  <c r="O89" i="22"/>
  <c r="G27" i="23"/>
  <c r="K27" i="23"/>
  <c r="F34" i="22" s="1"/>
  <c r="P35" i="10"/>
  <c r="K35" i="10"/>
  <c r="L35" i="10"/>
  <c r="L46" i="8" s="1"/>
  <c r="N35" i="10"/>
  <c r="N46" i="8" s="1"/>
  <c r="O35" i="10"/>
  <c r="O46" i="8" s="1"/>
  <c r="J35" i="10"/>
  <c r="M35" i="10"/>
  <c r="M46" i="8" s="1"/>
  <c r="K11" i="23"/>
  <c r="F12" i="22" s="1"/>
  <c r="G11" i="23"/>
  <c r="G14" i="23"/>
  <c r="K14" i="23"/>
  <c r="F15" i="22" s="1"/>
  <c r="C86" i="25"/>
  <c r="O104" i="22" s="1"/>
  <c r="O95" i="22"/>
  <c r="AD44" i="4"/>
  <c r="F31" i="9"/>
  <c r="H21" i="8" s="1"/>
  <c r="P35" i="12"/>
  <c r="AD35" i="12"/>
  <c r="AE37" i="12" s="1"/>
  <c r="H72" i="12"/>
  <c r="H23" i="12"/>
  <c r="AD38" i="12"/>
  <c r="H36" i="12"/>
  <c r="P32" i="12"/>
  <c r="AD32" i="12"/>
  <c r="AD27" i="12"/>
  <c r="P27" i="12"/>
  <c r="AD37" i="17"/>
  <c r="H35" i="17"/>
  <c r="C13" i="25"/>
  <c r="O14" i="22" s="1"/>
  <c r="O13" i="22"/>
  <c r="L79" i="12"/>
  <c r="M111" i="12"/>
  <c r="I79" i="12"/>
  <c r="G21" i="23"/>
  <c r="K21" i="23"/>
  <c r="F24" i="22" s="1"/>
  <c r="J60" i="4"/>
  <c r="O60" i="4" s="1"/>
  <c r="J49" i="23"/>
  <c r="F49" i="23"/>
  <c r="AD38" i="17"/>
  <c r="H36" i="17"/>
  <c r="AD37" i="12"/>
  <c r="H35" i="12"/>
  <c r="AD35" i="17"/>
  <c r="AE37" i="17" s="1"/>
  <c r="P35" i="17"/>
  <c r="AF35" i="17" s="1"/>
  <c r="H20" i="12"/>
  <c r="H77" i="12"/>
  <c r="H71" i="12"/>
  <c r="L71" i="12" s="1"/>
  <c r="P24" i="12"/>
  <c r="AD29" i="12"/>
  <c r="P29" i="12"/>
  <c r="O35" i="22"/>
  <c r="C29" i="25"/>
  <c r="C39" i="25"/>
  <c r="O50" i="22" s="1"/>
  <c r="H71" i="17"/>
  <c r="P24" i="17"/>
  <c r="P15" i="17" s="1"/>
  <c r="AD43" i="4"/>
  <c r="F30" i="9"/>
  <c r="H12" i="8" s="1"/>
  <c r="G80" i="12"/>
  <c r="M116" i="12" s="1"/>
  <c r="U46" i="17"/>
  <c r="W46" i="17" s="1"/>
  <c r="C81" i="25"/>
  <c r="O99" i="22" s="1"/>
  <c r="O90" i="22"/>
  <c r="M20" i="4"/>
  <c r="G8" i="10"/>
  <c r="M8" i="10" s="1"/>
  <c r="M20" i="8" s="1"/>
  <c r="S20" i="4"/>
  <c r="H22" i="17"/>
  <c r="H79" i="17"/>
  <c r="C35" i="25"/>
  <c r="O43" i="22"/>
  <c r="G80" i="17"/>
  <c r="M116" i="17" s="1"/>
  <c r="M88" i="17"/>
  <c r="K88" i="17" s="1"/>
  <c r="L88" i="12"/>
  <c r="N88" i="12"/>
  <c r="K116" i="12"/>
  <c r="AD45" i="4"/>
  <c r="F32" i="9"/>
  <c r="H35" i="8" s="1"/>
  <c r="AD47" i="4"/>
  <c r="F34" i="9"/>
  <c r="H46" i="8" s="1"/>
  <c r="C50" i="25"/>
  <c r="O66" i="22" s="1"/>
  <c r="O65" i="22"/>
  <c r="AD36" i="17"/>
  <c r="P36" i="17"/>
  <c r="AF36" i="17" s="1"/>
  <c r="C83" i="25"/>
  <c r="O101" i="22" s="1"/>
  <c r="O92" i="22"/>
  <c r="J65" i="4"/>
  <c r="O65" i="4" s="1"/>
  <c r="C32" i="10"/>
  <c r="F44" i="4"/>
  <c r="J32" i="10"/>
  <c r="P29" i="17"/>
  <c r="AD29" i="17"/>
  <c r="AD45" i="17" s="1"/>
  <c r="AE46" i="17" s="1"/>
  <c r="G34" i="23"/>
  <c r="K34" i="23"/>
  <c r="F43" i="22" s="1"/>
  <c r="H20" i="17"/>
  <c r="H77" i="17"/>
  <c r="G35" i="18"/>
  <c r="K35" i="8"/>
  <c r="H18" i="12"/>
  <c r="H78" i="12"/>
  <c r="AD34" i="12"/>
  <c r="P34" i="12"/>
  <c r="K31" i="10"/>
  <c r="P31" i="10"/>
  <c r="L31" i="10"/>
  <c r="L12" i="8" s="1"/>
  <c r="J31" i="10"/>
  <c r="O31" i="10"/>
  <c r="O12" i="8" s="1"/>
  <c r="M31" i="10"/>
  <c r="M12" i="8" s="1"/>
  <c r="N31" i="10"/>
  <c r="N12" i="8" s="1"/>
  <c r="K112" i="12"/>
  <c r="L114" i="12"/>
  <c r="H35" i="18"/>
  <c r="P35" i="8"/>
  <c r="AD48" i="4"/>
  <c r="F35" i="9"/>
  <c r="H59" i="8" s="1"/>
  <c r="F44" i="23"/>
  <c r="J44" i="23"/>
  <c r="AH42" i="4"/>
  <c r="F30" i="11"/>
  <c r="N30" i="11" s="1"/>
  <c r="Z99" i="4"/>
  <c r="I127" i="4"/>
  <c r="N127" i="4" s="1"/>
  <c r="J78" i="4"/>
  <c r="O78" i="4" s="1"/>
  <c r="J74" i="4"/>
  <c r="O74" i="4" s="1"/>
  <c r="I119" i="4"/>
  <c r="N116" i="4"/>
  <c r="J116" i="4"/>
  <c r="K60" i="4"/>
  <c r="P60" i="4" s="1"/>
  <c r="Z96" i="4"/>
  <c r="Z93" i="4"/>
  <c r="V89" i="4"/>
  <c r="V134" i="4"/>
  <c r="V70" i="4"/>
  <c r="V82" i="4"/>
  <c r="V72" i="4"/>
  <c r="V73" i="4" s="1"/>
  <c r="V87" i="4"/>
  <c r="V80" i="4"/>
  <c r="V109" i="4"/>
  <c r="W109" i="4" s="1"/>
  <c r="X109" i="4" s="1"/>
  <c r="V111" i="4"/>
  <c r="W111" i="4" s="1"/>
  <c r="X111" i="4" s="1"/>
  <c r="V85" i="4"/>
  <c r="V84" i="4"/>
  <c r="V110" i="4"/>
  <c r="Z82" i="4"/>
  <c r="V76" i="4"/>
  <c r="V79" i="4"/>
  <c r="W53" i="4"/>
  <c r="X53" i="4" s="1"/>
  <c r="V112" i="4"/>
  <c r="V88" i="4"/>
  <c r="V86" i="4"/>
  <c r="W86" i="4" s="1"/>
  <c r="X86" i="4" s="1"/>
  <c r="V113" i="4"/>
  <c r="W113" i="4" s="1"/>
  <c r="X113" i="4" s="1"/>
  <c r="V90" i="4"/>
  <c r="W90" i="4" s="1"/>
  <c r="X90" i="4" s="1"/>
  <c r="V75" i="4"/>
  <c r="V77" i="4"/>
  <c r="V83" i="4"/>
  <c r="V81" i="4"/>
  <c r="V74" i="4"/>
  <c r="V108" i="4"/>
  <c r="U132" i="4"/>
  <c r="AA137" i="4"/>
  <c r="AB136" i="4"/>
  <c r="V114" i="4"/>
  <c r="W68" i="4"/>
  <c r="V116" i="4"/>
  <c r="W76" i="4"/>
  <c r="V127" i="4"/>
  <c r="V128" i="4"/>
  <c r="V66" i="4"/>
  <c r="V121" i="4"/>
  <c r="V67" i="4"/>
  <c r="U73" i="4"/>
  <c r="V115" i="4"/>
  <c r="V117" i="4"/>
  <c r="V59" i="4"/>
  <c r="V131" i="4" s="1"/>
  <c r="V69" i="4"/>
  <c r="V120" i="4"/>
  <c r="N124" i="4"/>
  <c r="J124" i="4"/>
  <c r="O129" i="4"/>
  <c r="K129" i="4"/>
  <c r="V123" i="4"/>
  <c r="U125" i="4"/>
  <c r="H126" i="4"/>
  <c r="M126" i="4" s="1"/>
  <c r="R126" i="4" s="1"/>
  <c r="P70" i="4"/>
  <c r="N70" i="4"/>
  <c r="O70" i="4"/>
  <c r="G71" i="4"/>
  <c r="Q70" i="4"/>
  <c r="M70" i="4"/>
  <c r="R70" i="4" s="1"/>
  <c r="L97" i="4"/>
  <c r="Q97" i="4" s="1"/>
  <c r="Q105" i="4"/>
  <c r="K65" i="4"/>
  <c r="H125" i="4"/>
  <c r="V129" i="4"/>
  <c r="I111" i="4"/>
  <c r="N118" i="4"/>
  <c r="J118" i="4"/>
  <c r="M105" i="4"/>
  <c r="R88" i="4"/>
  <c r="U64" i="4"/>
  <c r="V64" i="4" s="1"/>
  <c r="Z64" i="4"/>
  <c r="Z121" i="4" s="1"/>
  <c r="N81" i="4"/>
  <c r="J81" i="4"/>
  <c r="H120" i="4"/>
  <c r="M120" i="4" s="1"/>
  <c r="R120" i="4" s="1"/>
  <c r="M87" i="4"/>
  <c r="H104" i="4"/>
  <c r="H96" i="4" s="1"/>
  <c r="H102" i="4"/>
  <c r="H94" i="4" s="1"/>
  <c r="M85" i="4"/>
  <c r="N113" i="4"/>
  <c r="J113" i="4"/>
  <c r="N105" i="4"/>
  <c r="I97" i="4"/>
  <c r="N97" i="4" s="1"/>
  <c r="I85" i="4"/>
  <c r="N80" i="4"/>
  <c r="J80" i="4"/>
  <c r="M89" i="4"/>
  <c r="H106" i="4"/>
  <c r="H98" i="4" s="1"/>
  <c r="N75" i="4"/>
  <c r="J75" i="4"/>
  <c r="N130" i="4"/>
  <c r="J130" i="4"/>
  <c r="L60" i="4"/>
  <c r="Q60" i="4" s="1"/>
  <c r="N123" i="4"/>
  <c r="J123" i="4"/>
  <c r="N108" i="4"/>
  <c r="J108" i="4"/>
  <c r="N64" i="4"/>
  <c r="J64" i="4"/>
  <c r="I82" i="4"/>
  <c r="N115" i="4"/>
  <c r="J115" i="4"/>
  <c r="K97" i="4"/>
  <c r="P97" i="4" s="1"/>
  <c r="P105" i="4"/>
  <c r="J91" i="4"/>
  <c r="O91" i="4" s="1"/>
  <c r="O73" i="4"/>
  <c r="K73" i="4"/>
  <c r="N122" i="4"/>
  <c r="J122" i="4"/>
  <c r="N66" i="4"/>
  <c r="J66" i="4"/>
  <c r="M67" i="4"/>
  <c r="R67" i="4" s="1"/>
  <c r="I67" i="4"/>
  <c r="W57" i="4"/>
  <c r="X57" i="4" s="1"/>
  <c r="W62" i="4"/>
  <c r="H107" i="4"/>
  <c r="H99" i="4" s="1"/>
  <c r="M90" i="4"/>
  <c r="V130" i="4"/>
  <c r="O84" i="4"/>
  <c r="J101" i="4"/>
  <c r="K84" i="4"/>
  <c r="Z60" i="4"/>
  <c r="S61" i="4"/>
  <c r="Z61" i="4" s="1"/>
  <c r="T60" i="4"/>
  <c r="H132" i="4"/>
  <c r="I132" i="4" s="1"/>
  <c r="J132" i="4" s="1"/>
  <c r="K132" i="4" s="1"/>
  <c r="L132" i="4" s="1"/>
  <c r="F133" i="4"/>
  <c r="N90" i="4"/>
  <c r="I107" i="4"/>
  <c r="H100" i="4"/>
  <c r="H92" i="4" s="1"/>
  <c r="M83" i="4"/>
  <c r="U71" i="4"/>
  <c r="U126" i="4" s="1"/>
  <c r="T118" i="4"/>
  <c r="T126" i="4"/>
  <c r="N59" i="4"/>
  <c r="N131" i="4" s="1"/>
  <c r="N132" i="4" s="1"/>
  <c r="N133" i="4" s="1"/>
  <c r="J59" i="4"/>
  <c r="N87" i="4"/>
  <c r="I104" i="4"/>
  <c r="N110" i="4"/>
  <c r="J110" i="4"/>
  <c r="I117" i="4"/>
  <c r="I121" i="4"/>
  <c r="X78" i="4"/>
  <c r="Z92" i="4"/>
  <c r="I114" i="4"/>
  <c r="I89" i="4"/>
  <c r="I61" i="4"/>
  <c r="V124" i="4"/>
  <c r="V122" i="4"/>
  <c r="H103" i="4"/>
  <c r="H95" i="4" s="1"/>
  <c r="M86" i="4"/>
  <c r="V65" i="4"/>
  <c r="J90" i="4"/>
  <c r="I83" i="4"/>
  <c r="N76" i="4"/>
  <c r="J76" i="4"/>
  <c r="I68" i="4"/>
  <c r="O105" i="4"/>
  <c r="J97" i="4"/>
  <c r="O97" i="4" s="1"/>
  <c r="O72" i="4"/>
  <c r="K72" i="4"/>
  <c r="J87" i="4"/>
  <c r="I112" i="4"/>
  <c r="R84" i="4"/>
  <c r="M101" i="4"/>
  <c r="N79" i="4"/>
  <c r="J79" i="4"/>
  <c r="F63" i="4"/>
  <c r="H62" i="4"/>
  <c r="M62" i="4" s="1"/>
  <c r="R62" i="4" s="1"/>
  <c r="BC120" i="4"/>
  <c r="BD120" i="4" s="1"/>
  <c r="BD119" i="4"/>
  <c r="K74" i="4"/>
  <c r="O77" i="4"/>
  <c r="K77" i="4"/>
  <c r="V119" i="4"/>
  <c r="I86" i="4"/>
  <c r="V133" i="4"/>
  <c r="H128" i="4"/>
  <c r="M128" i="4" s="1"/>
  <c r="R128" i="4" s="1"/>
  <c r="I109" i="4"/>
  <c r="N101" i="4"/>
  <c r="I93" i="4"/>
  <c r="N93" i="4" s="1"/>
  <c r="Q22" i="17" l="1"/>
  <c r="P16" i="17"/>
  <c r="S16" i="17" s="1"/>
  <c r="Q23" i="17"/>
  <c r="Q20" i="17"/>
  <c r="Q18" i="17"/>
  <c r="H12" i="18"/>
  <c r="P12" i="8"/>
  <c r="L34" i="23"/>
  <c r="G43" i="22" s="1"/>
  <c r="H34" i="23"/>
  <c r="M111" i="17"/>
  <c r="L79" i="17"/>
  <c r="I79" i="17"/>
  <c r="M114" i="12"/>
  <c r="I77" i="12"/>
  <c r="L77" i="12"/>
  <c r="H80" i="12"/>
  <c r="M117" i="12" s="1"/>
  <c r="H21" i="23"/>
  <c r="L21" i="23"/>
  <c r="G24" i="22" s="1"/>
  <c r="H27" i="23"/>
  <c r="L27" i="23"/>
  <c r="G34" i="22" s="1"/>
  <c r="G12" i="18"/>
  <c r="L12" i="18" s="1"/>
  <c r="J6" i="20" s="1"/>
  <c r="K12" i="8"/>
  <c r="AE43" i="4"/>
  <c r="H30" i="9" s="1"/>
  <c r="J12" i="8" s="1"/>
  <c r="G30" i="9"/>
  <c r="I12" i="8" s="1"/>
  <c r="H14" i="23"/>
  <c r="L14" i="23"/>
  <c r="G15" i="22" s="1"/>
  <c r="AE48" i="4"/>
  <c r="H35" i="9" s="1"/>
  <c r="J59" i="8" s="1"/>
  <c r="G35" i="9"/>
  <c r="I59" i="8" s="1"/>
  <c r="AE47" i="4"/>
  <c r="H34" i="9" s="1"/>
  <c r="J46" i="8" s="1"/>
  <c r="G34" i="9"/>
  <c r="I46" i="8" s="1"/>
  <c r="L11" i="23"/>
  <c r="G12" i="22" s="1"/>
  <c r="H11" i="23"/>
  <c r="Q24" i="17"/>
  <c r="M109" i="12"/>
  <c r="K109" i="12" s="1"/>
  <c r="K115" i="12" s="1"/>
  <c r="L115" i="12" s="1"/>
  <c r="AE45" i="4"/>
  <c r="H32" i="9" s="1"/>
  <c r="J35" i="8" s="1"/>
  <c r="G32" i="9"/>
  <c r="I35" i="8" s="1"/>
  <c r="H8" i="10"/>
  <c r="N8" i="10" s="1"/>
  <c r="N20" i="8" s="1"/>
  <c r="T20" i="4"/>
  <c r="N20" i="4"/>
  <c r="L71" i="17"/>
  <c r="I71" i="17"/>
  <c r="I71" i="12"/>
  <c r="L72" i="12"/>
  <c r="L75" i="12" s="1"/>
  <c r="I72" i="12"/>
  <c r="L112" i="12"/>
  <c r="L113" i="12"/>
  <c r="AE46" i="4"/>
  <c r="H33" i="9" s="1"/>
  <c r="J30" i="8" s="1"/>
  <c r="G33" i="9"/>
  <c r="I30" i="8" s="1"/>
  <c r="H61" i="23"/>
  <c r="L61" i="23"/>
  <c r="G79" i="22" s="1"/>
  <c r="N114" i="12"/>
  <c r="O36" i="22"/>
  <c r="C30" i="25"/>
  <c r="C40" i="25"/>
  <c r="O51" i="22" s="1"/>
  <c r="P15" i="12"/>
  <c r="AF35" i="12"/>
  <c r="L78" i="12"/>
  <c r="I78" i="12"/>
  <c r="K32" i="10"/>
  <c r="P32" i="10"/>
  <c r="O32" i="10"/>
  <c r="O21" i="8" s="1"/>
  <c r="N32" i="10"/>
  <c r="N21" i="8" s="1"/>
  <c r="L32" i="10"/>
  <c r="L21" i="8" s="1"/>
  <c r="M32" i="10"/>
  <c r="M21" i="8" s="1"/>
  <c r="L116" i="12"/>
  <c r="N116" i="12" s="1"/>
  <c r="L118" i="12"/>
  <c r="H15" i="12"/>
  <c r="H16" i="12" s="1"/>
  <c r="L16" i="12" s="1"/>
  <c r="K78" i="4"/>
  <c r="P78" i="4" s="1"/>
  <c r="L35" i="18"/>
  <c r="J10" i="20" s="1"/>
  <c r="K116" i="17"/>
  <c r="K114" i="17"/>
  <c r="N88" i="17"/>
  <c r="L88" i="17"/>
  <c r="K49" i="23"/>
  <c r="F65" i="22" s="1"/>
  <c r="G49" i="23"/>
  <c r="C23" i="25"/>
  <c r="O26" i="22" s="1"/>
  <c r="O25" i="22"/>
  <c r="L72" i="17"/>
  <c r="I72" i="17"/>
  <c r="AD45" i="12"/>
  <c r="AE46" i="12" s="1"/>
  <c r="AE44" i="4"/>
  <c r="H31" i="9" s="1"/>
  <c r="J21" i="8" s="1"/>
  <c r="G31" i="9"/>
  <c r="I21" i="8" s="1"/>
  <c r="G46" i="18"/>
  <c r="K46" i="8"/>
  <c r="I78" i="17"/>
  <c r="L78" i="17"/>
  <c r="L77" i="17"/>
  <c r="I77" i="17"/>
  <c r="M114" i="17"/>
  <c r="H80" i="17"/>
  <c r="M117" i="17" s="1"/>
  <c r="J127" i="4"/>
  <c r="O127" i="4" s="1"/>
  <c r="Q24" i="12"/>
  <c r="H46" i="18"/>
  <c r="P46" i="8"/>
  <c r="H15" i="17"/>
  <c r="H16" i="17" s="1"/>
  <c r="L16" i="17" s="1"/>
  <c r="C36" i="25"/>
  <c r="O44" i="22"/>
  <c r="AI42" i="4"/>
  <c r="G30" i="11"/>
  <c r="O30" i="11" s="1"/>
  <c r="G44" i="23"/>
  <c r="K44" i="23"/>
  <c r="F57" i="22" s="1"/>
  <c r="X80" i="4"/>
  <c r="O116" i="4"/>
  <c r="K116" i="4"/>
  <c r="I128" i="4"/>
  <c r="I120" i="4"/>
  <c r="N120" i="4" s="1"/>
  <c r="I126" i="4"/>
  <c r="N119" i="4"/>
  <c r="J119" i="4"/>
  <c r="W83" i="4"/>
  <c r="X83" i="4" s="1"/>
  <c r="W110" i="4"/>
  <c r="X110" i="4" s="1"/>
  <c r="W82" i="4"/>
  <c r="X82" i="4" s="1"/>
  <c r="W81" i="4"/>
  <c r="W84" i="4"/>
  <c r="X84" i="4" s="1"/>
  <c r="X75" i="4"/>
  <c r="W85" i="4"/>
  <c r="X85" i="4" s="1"/>
  <c r="W74" i="4"/>
  <c r="X79" i="4"/>
  <c r="W80" i="4"/>
  <c r="X74" i="4"/>
  <c r="W72" i="4"/>
  <c r="X72" i="4" s="1"/>
  <c r="X73" i="4" s="1"/>
  <c r="W88" i="4"/>
  <c r="X88" i="4" s="1"/>
  <c r="X81" i="4"/>
  <c r="W79" i="4"/>
  <c r="W112" i="4"/>
  <c r="X112" i="4" s="1"/>
  <c r="W108" i="4"/>
  <c r="X108" i="4" s="1"/>
  <c r="X77" i="4"/>
  <c r="W120" i="4"/>
  <c r="X120" i="4" s="1"/>
  <c r="W67" i="4"/>
  <c r="X67" i="4" s="1"/>
  <c r="W89" i="4"/>
  <c r="X89" i="4" s="1"/>
  <c r="W121" i="4"/>
  <c r="X121" i="4" s="1"/>
  <c r="X76" i="4"/>
  <c r="W77" i="4"/>
  <c r="W75" i="4"/>
  <c r="W66" i="4"/>
  <c r="X66" i="4" s="1"/>
  <c r="W87" i="4"/>
  <c r="X87" i="4" s="1"/>
  <c r="W78" i="4"/>
  <c r="W128" i="4"/>
  <c r="X128" i="4" s="1"/>
  <c r="W69" i="4"/>
  <c r="X69" i="4" s="1"/>
  <c r="W117" i="4"/>
  <c r="X117" i="4" s="1"/>
  <c r="AC136" i="4"/>
  <c r="AB137" i="4"/>
  <c r="W115" i="4"/>
  <c r="X115" i="4" s="1"/>
  <c r="W64" i="4"/>
  <c r="X64" i="4" s="1"/>
  <c r="W134" i="4"/>
  <c r="X134" i="4" s="1"/>
  <c r="W65" i="4"/>
  <c r="X65" i="4" s="1"/>
  <c r="W133" i="4"/>
  <c r="X133" i="4" s="1"/>
  <c r="W119" i="4"/>
  <c r="X119" i="4" s="1"/>
  <c r="W122" i="4"/>
  <c r="X122" i="4" s="1"/>
  <c r="W129" i="4"/>
  <c r="X129" i="4" s="1"/>
  <c r="X62" i="4"/>
  <c r="W59" i="4"/>
  <c r="W131" i="4" s="1"/>
  <c r="W116" i="4"/>
  <c r="X116" i="4" s="1"/>
  <c r="W114" i="4"/>
  <c r="X114" i="4" s="1"/>
  <c r="X68" i="4"/>
  <c r="V132" i="4"/>
  <c r="W127" i="4"/>
  <c r="X127" i="4" s="1"/>
  <c r="W130" i="4"/>
  <c r="X130" i="4" s="1"/>
  <c r="O76" i="4"/>
  <c r="K76" i="4"/>
  <c r="N67" i="4"/>
  <c r="J67" i="4"/>
  <c r="R87" i="4"/>
  <c r="M104" i="4"/>
  <c r="M97" i="4"/>
  <c r="R97" i="4" s="1"/>
  <c r="R105" i="4"/>
  <c r="P77" i="4"/>
  <c r="L77" i="4"/>
  <c r="Q77" i="4" s="1"/>
  <c r="N135" i="4"/>
  <c r="N134" i="4"/>
  <c r="N111" i="4"/>
  <c r="J111" i="4"/>
  <c r="M103" i="4"/>
  <c r="R86" i="4"/>
  <c r="O130" i="4"/>
  <c r="K130" i="4"/>
  <c r="O113" i="4"/>
  <c r="K113" i="4"/>
  <c r="O81" i="4"/>
  <c r="K81" i="4"/>
  <c r="M125" i="4"/>
  <c r="R125" i="4" s="1"/>
  <c r="I125" i="4"/>
  <c r="W70" i="4"/>
  <c r="W124" i="4"/>
  <c r="M100" i="4"/>
  <c r="R83" i="4"/>
  <c r="N112" i="4"/>
  <c r="J112" i="4"/>
  <c r="I62" i="4"/>
  <c r="P84" i="4"/>
  <c r="K101" i="4"/>
  <c r="L84" i="4"/>
  <c r="O108" i="4"/>
  <c r="K108" i="4"/>
  <c r="N121" i="4"/>
  <c r="J121" i="4"/>
  <c r="O101" i="4"/>
  <c r="J93" i="4"/>
  <c r="O93" i="4" s="1"/>
  <c r="O123" i="4"/>
  <c r="K123" i="4"/>
  <c r="J107" i="4"/>
  <c r="O90" i="4"/>
  <c r="K90" i="4"/>
  <c r="F134" i="4"/>
  <c r="H133" i="4"/>
  <c r="I133" i="4" s="1"/>
  <c r="J133" i="4" s="1"/>
  <c r="K133" i="4" s="1"/>
  <c r="L133" i="4" s="1"/>
  <c r="M107" i="4"/>
  <c r="R90" i="4"/>
  <c r="J120" i="4"/>
  <c r="O71" i="4"/>
  <c r="M71" i="4"/>
  <c r="R71" i="4" s="1"/>
  <c r="P71" i="4"/>
  <c r="N71" i="4"/>
  <c r="Q71" i="4"/>
  <c r="P72" i="4"/>
  <c r="L72" i="4"/>
  <c r="Q72" i="4" s="1"/>
  <c r="O122" i="4"/>
  <c r="K122" i="4"/>
  <c r="N109" i="4"/>
  <c r="J109" i="4"/>
  <c r="P74" i="4"/>
  <c r="L74" i="4"/>
  <c r="Q74" i="4" s="1"/>
  <c r="M93" i="4"/>
  <c r="R93" i="4" s="1"/>
  <c r="R101" i="4"/>
  <c r="N89" i="4"/>
  <c r="I106" i="4"/>
  <c r="J89" i="4"/>
  <c r="N117" i="4"/>
  <c r="J117" i="4"/>
  <c r="V71" i="4"/>
  <c r="V126" i="4" s="1"/>
  <c r="U118" i="4"/>
  <c r="N82" i="4"/>
  <c r="J82" i="4"/>
  <c r="H63" i="4"/>
  <c r="M63" i="4" s="1"/>
  <c r="R63" i="4" s="1"/>
  <c r="N107" i="4"/>
  <c r="I99" i="4"/>
  <c r="N99" i="4" s="1"/>
  <c r="O66" i="4"/>
  <c r="K66" i="4"/>
  <c r="N83" i="4"/>
  <c r="I100" i="4"/>
  <c r="J83" i="4"/>
  <c r="N104" i="4"/>
  <c r="I96" i="4"/>
  <c r="N96" i="4" s="1"/>
  <c r="O80" i="4"/>
  <c r="K80" i="4"/>
  <c r="N61" i="4"/>
  <c r="J61" i="4"/>
  <c r="O59" i="4"/>
  <c r="O131" i="4" s="1"/>
  <c r="O132" i="4" s="1"/>
  <c r="O133" i="4" s="1"/>
  <c r="K59" i="4"/>
  <c r="O115" i="4"/>
  <c r="K115" i="4"/>
  <c r="I102" i="4"/>
  <c r="N85" i="4"/>
  <c r="J85" i="4"/>
  <c r="W123" i="4"/>
  <c r="V125" i="4"/>
  <c r="P129" i="4"/>
  <c r="L129" i="4"/>
  <c r="Q129" i="4" s="1"/>
  <c r="O79" i="4"/>
  <c r="K79" i="4"/>
  <c r="O110" i="4"/>
  <c r="K110" i="4"/>
  <c r="T61" i="4"/>
  <c r="T135" i="4" s="1"/>
  <c r="U60" i="4"/>
  <c r="P73" i="4"/>
  <c r="L73" i="4"/>
  <c r="K91" i="4"/>
  <c r="P91" i="4" s="1"/>
  <c r="O75" i="4"/>
  <c r="K75" i="4"/>
  <c r="P65" i="4"/>
  <c r="L65" i="4"/>
  <c r="Q65" i="4" s="1"/>
  <c r="O124" i="4"/>
  <c r="K124" i="4"/>
  <c r="N114" i="4"/>
  <c r="J114" i="4"/>
  <c r="M106" i="4"/>
  <c r="R89" i="4"/>
  <c r="I103" i="4"/>
  <c r="N86" i="4"/>
  <c r="J86" i="4"/>
  <c r="O118" i="4"/>
  <c r="K118" i="4"/>
  <c r="J104" i="4"/>
  <c r="O87" i="4"/>
  <c r="K87" i="4"/>
  <c r="N68" i="4"/>
  <c r="J68" i="4"/>
  <c r="O64" i="4"/>
  <c r="K64" i="4"/>
  <c r="M102" i="4"/>
  <c r="R85" i="4"/>
  <c r="M72" i="12" l="1"/>
  <c r="M106" i="12"/>
  <c r="N106" i="12" s="1"/>
  <c r="M73" i="12"/>
  <c r="M71" i="12"/>
  <c r="L116" i="17"/>
  <c r="N116" i="17" s="1"/>
  <c r="L118" i="17"/>
  <c r="M34" i="23"/>
  <c r="H43" i="22" s="1"/>
  <c r="I34" i="23"/>
  <c r="N34" i="23" s="1"/>
  <c r="I43" i="22" s="1"/>
  <c r="M72" i="17"/>
  <c r="M79" i="17"/>
  <c r="M109" i="17"/>
  <c r="K109" i="17" s="1"/>
  <c r="K111" i="12"/>
  <c r="L109" i="12"/>
  <c r="L110" i="12"/>
  <c r="K107" i="12"/>
  <c r="Q20" i="12"/>
  <c r="Q22" i="12"/>
  <c r="P16" i="12"/>
  <c r="S16" i="12" s="1"/>
  <c r="Q23" i="12"/>
  <c r="Q18" i="12"/>
  <c r="C41" i="25"/>
  <c r="O52" i="22" s="1"/>
  <c r="O37" i="22"/>
  <c r="L80" i="17"/>
  <c r="M77" i="17"/>
  <c r="L49" i="23"/>
  <c r="G65" i="22" s="1"/>
  <c r="H49" i="23"/>
  <c r="L75" i="17"/>
  <c r="M71" i="17"/>
  <c r="I21" i="23"/>
  <c r="N21" i="23" s="1"/>
  <c r="I24" i="22" s="1"/>
  <c r="M21" i="23"/>
  <c r="H24" i="22" s="1"/>
  <c r="M112" i="17"/>
  <c r="M78" i="17"/>
  <c r="U20" i="4"/>
  <c r="I8" i="10"/>
  <c r="O8" i="10" s="1"/>
  <c r="O20" i="8" s="1"/>
  <c r="M11" i="23"/>
  <c r="H12" i="22" s="1"/>
  <c r="I11" i="23"/>
  <c r="N11" i="23" s="1"/>
  <c r="I12" i="22" s="1"/>
  <c r="I27" i="23"/>
  <c r="N27" i="23" s="1"/>
  <c r="I34" i="22" s="1"/>
  <c r="M27" i="23"/>
  <c r="H34" i="22" s="1"/>
  <c r="K127" i="4"/>
  <c r="I80" i="17"/>
  <c r="M118" i="17" s="1"/>
  <c r="I61" i="23"/>
  <c r="N61" i="23" s="1"/>
  <c r="I79" i="22" s="1"/>
  <c r="M61" i="23"/>
  <c r="H79" i="22" s="1"/>
  <c r="L80" i="12"/>
  <c r="M78" i="12" s="1"/>
  <c r="M112" i="12"/>
  <c r="N112" i="12" s="1"/>
  <c r="M77" i="12"/>
  <c r="L78" i="4"/>
  <c r="Q78" i="4" s="1"/>
  <c r="C37" i="25"/>
  <c r="O46" i="22" s="1"/>
  <c r="O45" i="22"/>
  <c r="H21" i="18"/>
  <c r="P21" i="8"/>
  <c r="I80" i="12"/>
  <c r="M118" i="12" s="1"/>
  <c r="N118" i="12"/>
  <c r="L46" i="18"/>
  <c r="J15" i="20" s="1"/>
  <c r="K112" i="17"/>
  <c r="L114" i="17"/>
  <c r="N114" i="17" s="1"/>
  <c r="G21" i="18"/>
  <c r="K21" i="8"/>
  <c r="I14" i="23"/>
  <c r="N14" i="23" s="1"/>
  <c r="I15" i="22" s="1"/>
  <c r="M14" i="23"/>
  <c r="H15" i="22" s="1"/>
  <c r="H44" i="23"/>
  <c r="L44" i="23"/>
  <c r="G57" i="22" s="1"/>
  <c r="AJ42" i="4"/>
  <c r="H30" i="11"/>
  <c r="P30" i="11" s="1"/>
  <c r="I63" i="4"/>
  <c r="N63" i="4" s="1"/>
  <c r="O119" i="4"/>
  <c r="K119" i="4"/>
  <c r="N126" i="4"/>
  <c r="J126" i="4"/>
  <c r="N128" i="4"/>
  <c r="J128" i="4"/>
  <c r="P116" i="4"/>
  <c r="L116" i="4"/>
  <c r="Q116" i="4" s="1"/>
  <c r="W73" i="4"/>
  <c r="X59" i="4"/>
  <c r="X131" i="4" s="1"/>
  <c r="AD136" i="4"/>
  <c r="AC137" i="4"/>
  <c r="P127" i="4"/>
  <c r="L127" i="4"/>
  <c r="Q127" i="4" s="1"/>
  <c r="O112" i="4"/>
  <c r="K112" i="4"/>
  <c r="P80" i="4"/>
  <c r="L80" i="4"/>
  <c r="Q80" i="4" s="1"/>
  <c r="R106" i="4"/>
  <c r="M98" i="4"/>
  <c r="R98" i="4" s="1"/>
  <c r="P108" i="4"/>
  <c r="L108" i="4"/>
  <c r="Q108" i="4" s="1"/>
  <c r="P124" i="4"/>
  <c r="L124" i="4"/>
  <c r="Q124" i="4" s="1"/>
  <c r="F135" i="4"/>
  <c r="H134" i="4"/>
  <c r="I134" i="4" s="1"/>
  <c r="J134" i="4" s="1"/>
  <c r="K134" i="4" s="1"/>
  <c r="L134" i="4" s="1"/>
  <c r="Q84" i="4"/>
  <c r="L101" i="4"/>
  <c r="X124" i="4"/>
  <c r="O111" i="4"/>
  <c r="K111" i="4"/>
  <c r="O67" i="4"/>
  <c r="K67" i="4"/>
  <c r="P75" i="4"/>
  <c r="L75" i="4"/>
  <c r="Q75" i="4" s="1"/>
  <c r="R102" i="4"/>
  <c r="M94" i="4"/>
  <c r="R94" i="4" s="1"/>
  <c r="O109" i="4"/>
  <c r="K109" i="4"/>
  <c r="R107" i="4"/>
  <c r="M99" i="4"/>
  <c r="R99" i="4" s="1"/>
  <c r="L91" i="4"/>
  <c r="Q91" i="4" s="1"/>
  <c r="Q73" i="4"/>
  <c r="P122" i="4"/>
  <c r="L122" i="4"/>
  <c r="Q122" i="4" s="1"/>
  <c r="O117" i="4"/>
  <c r="K117" i="4"/>
  <c r="R104" i="4"/>
  <c r="M96" i="4"/>
  <c r="R96" i="4" s="1"/>
  <c r="J102" i="4"/>
  <c r="O85" i="4"/>
  <c r="K85" i="4"/>
  <c r="I94" i="4"/>
  <c r="N94" i="4" s="1"/>
  <c r="N102" i="4"/>
  <c r="N106" i="4"/>
  <c r="I98" i="4"/>
  <c r="N98" i="4" s="1"/>
  <c r="M95" i="4"/>
  <c r="R95" i="4" s="1"/>
  <c r="R103" i="4"/>
  <c r="K104" i="4"/>
  <c r="P87" i="4"/>
  <c r="L87" i="4"/>
  <c r="P115" i="4"/>
  <c r="L115" i="4"/>
  <c r="Q115" i="4" s="1"/>
  <c r="O83" i="4"/>
  <c r="J100" i="4"/>
  <c r="K83" i="4"/>
  <c r="N100" i="4"/>
  <c r="I92" i="4"/>
  <c r="N92" i="4" s="1"/>
  <c r="K107" i="4"/>
  <c r="P90" i="4"/>
  <c r="L90" i="4"/>
  <c r="K93" i="4"/>
  <c r="P93" i="4" s="1"/>
  <c r="P101" i="4"/>
  <c r="W132" i="4"/>
  <c r="X70" i="4"/>
  <c r="O82" i="4"/>
  <c r="K82" i="4"/>
  <c r="O120" i="4"/>
  <c r="K120" i="4"/>
  <c r="P81" i="4"/>
  <c r="L81" i="4"/>
  <c r="Q81" i="4" s="1"/>
  <c r="J103" i="4"/>
  <c r="O86" i="4"/>
  <c r="K86" i="4"/>
  <c r="P66" i="4"/>
  <c r="L66" i="4"/>
  <c r="Q66" i="4" s="1"/>
  <c r="P64" i="4"/>
  <c r="L64" i="4"/>
  <c r="Q64" i="4" s="1"/>
  <c r="O61" i="4"/>
  <c r="K61" i="4"/>
  <c r="P113" i="4"/>
  <c r="L113" i="4"/>
  <c r="Q113" i="4" s="1"/>
  <c r="N103" i="4"/>
  <c r="I95" i="4"/>
  <c r="N95" i="4" s="1"/>
  <c r="W71" i="4"/>
  <c r="W126" i="4" s="1"/>
  <c r="V118" i="4"/>
  <c r="P130" i="4"/>
  <c r="L130" i="4"/>
  <c r="Q130" i="4" s="1"/>
  <c r="U61" i="4"/>
  <c r="U135" i="4" s="1"/>
  <c r="V60" i="4"/>
  <c r="O114" i="4"/>
  <c r="K114" i="4"/>
  <c r="O89" i="4"/>
  <c r="J106" i="4"/>
  <c r="K89" i="4"/>
  <c r="P110" i="4"/>
  <c r="L110" i="4"/>
  <c r="Q110" i="4" s="1"/>
  <c r="J96" i="4"/>
  <c r="O96" i="4" s="1"/>
  <c r="O104" i="4"/>
  <c r="P59" i="4"/>
  <c r="P131" i="4" s="1"/>
  <c r="P132" i="4" s="1"/>
  <c r="P133" i="4" s="1"/>
  <c r="L59" i="4"/>
  <c r="Q59" i="4" s="1"/>
  <c r="Q131" i="4" s="1"/>
  <c r="Q132" i="4" s="1"/>
  <c r="Q133" i="4" s="1"/>
  <c r="N125" i="4"/>
  <c r="J125" i="4"/>
  <c r="P76" i="4"/>
  <c r="L76" i="4"/>
  <c r="Q76" i="4" s="1"/>
  <c r="P123" i="4"/>
  <c r="L123" i="4"/>
  <c r="Q123" i="4" s="1"/>
  <c r="W125" i="4"/>
  <c r="X123" i="4"/>
  <c r="O121" i="4"/>
  <c r="K121" i="4"/>
  <c r="O68" i="4"/>
  <c r="K68" i="4"/>
  <c r="R100" i="4"/>
  <c r="M92" i="4"/>
  <c r="R92" i="4" s="1"/>
  <c r="P118" i="4"/>
  <c r="L118" i="4"/>
  <c r="Q118" i="4" s="1"/>
  <c r="P79" i="4"/>
  <c r="L79" i="4"/>
  <c r="Q79" i="4" s="1"/>
  <c r="O135" i="4"/>
  <c r="O134" i="4"/>
  <c r="O107" i="4"/>
  <c r="J99" i="4"/>
  <c r="O99" i="4" s="1"/>
  <c r="N62" i="4"/>
  <c r="J62" i="4"/>
  <c r="K115" i="17" l="1"/>
  <c r="L115" i="17" s="1"/>
  <c r="L112" i="17"/>
  <c r="N112" i="17" s="1"/>
  <c r="L113" i="17"/>
  <c r="L81" i="12"/>
  <c r="M108" i="12"/>
  <c r="M79" i="12"/>
  <c r="N118" i="17"/>
  <c r="M106" i="17"/>
  <c r="N106" i="17" s="1"/>
  <c r="M73" i="17"/>
  <c r="I49" i="23"/>
  <c r="N49" i="23" s="1"/>
  <c r="I65" i="22" s="1"/>
  <c r="M49" i="23"/>
  <c r="H65" i="22" s="1"/>
  <c r="J63" i="4"/>
  <c r="O63" i="4" s="1"/>
  <c r="K117" i="12"/>
  <c r="L117" i="12" s="1"/>
  <c r="N117" i="12" s="1"/>
  <c r="L111" i="12"/>
  <c r="L21" i="18"/>
  <c r="J7" i="20" s="1"/>
  <c r="L81" i="17"/>
  <c r="M108" i="17"/>
  <c r="L110" i="17"/>
  <c r="L109" i="17"/>
  <c r="K107" i="17"/>
  <c r="K111" i="17"/>
  <c r="I39" i="18"/>
  <c r="L39" i="18" s="1"/>
  <c r="J12" i="20" s="1"/>
  <c r="Q39" i="8"/>
  <c r="AT42" i="4"/>
  <c r="AU42" i="4" s="1"/>
  <c r="I30" i="11"/>
  <c r="Q30" i="11" s="1"/>
  <c r="R39" i="8" s="1"/>
  <c r="I44" i="23"/>
  <c r="N44" i="23" s="1"/>
  <c r="I57" i="22" s="1"/>
  <c r="M44" i="23"/>
  <c r="H57" i="22" s="1"/>
  <c r="X132" i="4"/>
  <c r="O126" i="4"/>
  <c r="K126" i="4"/>
  <c r="P119" i="4"/>
  <c r="L119" i="4"/>
  <c r="Q119" i="4" s="1"/>
  <c r="O128" i="4"/>
  <c r="K128" i="4"/>
  <c r="AD137" i="4"/>
  <c r="AE136" i="4"/>
  <c r="AE137" i="4" s="1"/>
  <c r="P85" i="4"/>
  <c r="K102" i="4"/>
  <c r="L85" i="4"/>
  <c r="P109" i="4"/>
  <c r="L109" i="4"/>
  <c r="Q109" i="4" s="1"/>
  <c r="L107" i="4"/>
  <c r="Q90" i="4"/>
  <c r="P117" i="4"/>
  <c r="L117" i="4"/>
  <c r="Q117" i="4" s="1"/>
  <c r="P112" i="4"/>
  <c r="L112" i="4"/>
  <c r="Q112" i="4" s="1"/>
  <c r="Q135" i="4"/>
  <c r="Q134" i="4"/>
  <c r="P121" i="4"/>
  <c r="L121" i="4"/>
  <c r="Q121" i="4" s="1"/>
  <c r="X125" i="4"/>
  <c r="K103" i="4"/>
  <c r="P86" i="4"/>
  <c r="L86" i="4"/>
  <c r="X71" i="4"/>
  <c r="X118" i="4" s="1"/>
  <c r="W118" i="4"/>
  <c r="K96" i="4"/>
  <c r="P96" i="4" s="1"/>
  <c r="P104" i="4"/>
  <c r="P89" i="4"/>
  <c r="K106" i="4"/>
  <c r="L89" i="4"/>
  <c r="O103" i="4"/>
  <c r="J95" i="4"/>
  <c r="O95" i="4" s="1"/>
  <c r="J98" i="4"/>
  <c r="O98" i="4" s="1"/>
  <c r="O106" i="4"/>
  <c r="K99" i="4"/>
  <c r="P99" i="4" s="1"/>
  <c r="P107" i="4"/>
  <c r="P67" i="4"/>
  <c r="L67" i="4"/>
  <c r="Q67" i="4" s="1"/>
  <c r="H135" i="4"/>
  <c r="I135" i="4" s="1"/>
  <c r="J135" i="4" s="1"/>
  <c r="K135" i="4" s="1"/>
  <c r="L135" i="4" s="1"/>
  <c r="P82" i="4"/>
  <c r="L82" i="4"/>
  <c r="Q82" i="4" s="1"/>
  <c r="O100" i="4"/>
  <c r="J92" i="4"/>
  <c r="O92" i="4" s="1"/>
  <c r="P68" i="4"/>
  <c r="L68" i="4"/>
  <c r="Q68" i="4" s="1"/>
  <c r="L93" i="4"/>
  <c r="Q93" i="4" s="1"/>
  <c r="Q101" i="4"/>
  <c r="L104" i="4"/>
  <c r="Q87" i="4"/>
  <c r="O62" i="4"/>
  <c r="K62" i="4"/>
  <c r="P114" i="4"/>
  <c r="L114" i="4"/>
  <c r="Q114" i="4" s="1"/>
  <c r="P120" i="4"/>
  <c r="L120" i="4"/>
  <c r="Q120" i="4" s="1"/>
  <c r="P111" i="4"/>
  <c r="L111" i="4"/>
  <c r="Q111" i="4" s="1"/>
  <c r="V61" i="4"/>
  <c r="V135" i="4" s="1"/>
  <c r="W60" i="4"/>
  <c r="P135" i="4"/>
  <c r="P134" i="4"/>
  <c r="O102" i="4"/>
  <c r="J94" i="4"/>
  <c r="O94" i="4" s="1"/>
  <c r="O125" i="4"/>
  <c r="K125" i="4"/>
  <c r="P61" i="4"/>
  <c r="L61" i="4"/>
  <c r="Q61" i="4" s="1"/>
  <c r="K100" i="4"/>
  <c r="P83" i="4"/>
  <c r="L83" i="4"/>
  <c r="K117" i="17" l="1"/>
  <c r="L117" i="17" s="1"/>
  <c r="N117" i="17" s="1"/>
  <c r="N120" i="17" s="1"/>
  <c r="L111" i="17"/>
  <c r="M113" i="17"/>
  <c r="N108" i="17"/>
  <c r="K63" i="4"/>
  <c r="N77" i="17"/>
  <c r="N73" i="17"/>
  <c r="N71" i="17"/>
  <c r="N72" i="17"/>
  <c r="N108" i="12"/>
  <c r="N120" i="12" s="1"/>
  <c r="M113" i="12"/>
  <c r="N77" i="12"/>
  <c r="N73" i="12"/>
  <c r="N71" i="12"/>
  <c r="N72" i="12"/>
  <c r="AK42" i="4"/>
  <c r="AV42" i="4"/>
  <c r="L128" i="4"/>
  <c r="Q128" i="4" s="1"/>
  <c r="P128" i="4"/>
  <c r="L126" i="4"/>
  <c r="Q126" i="4" s="1"/>
  <c r="P126" i="4"/>
  <c r="P106" i="4"/>
  <c r="K98" i="4"/>
  <c r="P98" i="4" s="1"/>
  <c r="Q104" i="4"/>
  <c r="L96" i="4"/>
  <c r="Q96" i="4" s="1"/>
  <c r="Q85" i="4"/>
  <c r="L102" i="4"/>
  <c r="P100" i="4"/>
  <c r="K92" i="4"/>
  <c r="P92" i="4" s="1"/>
  <c r="P103" i="4"/>
  <c r="K95" i="4"/>
  <c r="P95" i="4" s="1"/>
  <c r="L99" i="4"/>
  <c r="Q99" i="4" s="1"/>
  <c r="Q107" i="4"/>
  <c r="P62" i="4"/>
  <c r="L62" i="4"/>
  <c r="Q62" i="4" s="1"/>
  <c r="Q86" i="4"/>
  <c r="L103" i="4"/>
  <c r="P125" i="4"/>
  <c r="L125" i="4"/>
  <c r="Q125" i="4" s="1"/>
  <c r="L106" i="4"/>
  <c r="Q89" i="4"/>
  <c r="X60" i="4"/>
  <c r="X61" i="4" s="1"/>
  <c r="X135" i="4" s="1"/>
  <c r="W61" i="4"/>
  <c r="W135" i="4" s="1"/>
  <c r="X126" i="4"/>
  <c r="P102" i="4"/>
  <c r="K94" i="4"/>
  <c r="P94" i="4" s="1"/>
  <c r="L100" i="4"/>
  <c r="Q83" i="4"/>
  <c r="L63" i="4" l="1"/>
  <c r="Q63" i="4" s="1"/>
  <c r="P63" i="4"/>
  <c r="AL42" i="4"/>
  <c r="K30" i="11" s="1"/>
  <c r="S30" i="11" s="1"/>
  <c r="T39" i="8" s="1"/>
  <c r="AW42" i="4"/>
  <c r="AM42" i="4" s="1"/>
  <c r="L30" i="11" s="1"/>
  <c r="T30" i="11" s="1"/>
  <c r="U39" i="8" s="1"/>
  <c r="AY42" i="4"/>
  <c r="J30" i="11"/>
  <c r="R30" i="11" s="1"/>
  <c r="S39" i="8" s="1"/>
  <c r="Q102" i="4"/>
  <c r="L94" i="4"/>
  <c r="Q94" i="4" s="1"/>
  <c r="Q103" i="4"/>
  <c r="L95" i="4"/>
  <c r="Q95" i="4" s="1"/>
  <c r="Q100" i="4"/>
  <c r="L92" i="4"/>
  <c r="Q92" i="4" s="1"/>
  <c r="Q106" i="4"/>
  <c r="L98" i="4"/>
  <c r="Q98" i="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tc={0F7566C5-E67F-48BD-8F84-D83C2401F9EB}</author>
  </authors>
  <commentList>
    <comment ref="D29" authorId="0" shapeId="0" xr:uid="{0F7566C5-E67F-48BD-8F84-D83C2401F9EB}">
      <text>
        <t>[Threaded comment]
Your version of Excel allows you to read this threaded comment; however, any edits to it will get removed if the file is opened in a newer version of Excel. Learn more: https://go.microsoft.com/fwlink/?linkid=870924
Comment:
    To get same pkm as in DMD_PRJ</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Fadiel</author>
    <author>Bruno Merven</author>
    <author>ESAP PC</author>
  </authors>
  <commentList>
    <comment ref="Z27" authorId="0" shapeId="0" xr:uid="{C6D07224-1A94-46DD-8700-923171722C41}">
      <text>
        <r>
          <rPr>
            <b/>
            <sz val="9"/>
            <color indexed="81"/>
            <rFont val="Tahoma"/>
            <family val="2"/>
          </rPr>
          <t>Fadiel:</t>
        </r>
        <r>
          <rPr>
            <sz val="9"/>
            <color indexed="81"/>
            <rFont val="Tahoma"/>
            <family val="2"/>
          </rPr>
          <t xml:space="preserve">
Paste from Analytica
</t>
        </r>
      </text>
    </comment>
    <comment ref="M35" authorId="1" shapeId="0" xr:uid="{95038E16-19F9-42E5-9AC8-A66DDED9A0AC}">
      <text>
        <r>
          <rPr>
            <b/>
            <sz val="8"/>
            <color indexed="81"/>
            <rFont val="Tahoma"/>
            <family val="2"/>
          </rPr>
          <t>Bruno Merven:</t>
        </r>
        <r>
          <rPr>
            <sz val="8"/>
            <color indexed="81"/>
            <rFont val="Tahoma"/>
            <family val="2"/>
          </rPr>
          <t xml:space="preserve">
A. Stone/LTMS</t>
        </r>
      </text>
    </comment>
    <comment ref="AE35" authorId="1" shapeId="0" xr:uid="{7975C102-AC12-4073-9D1C-2668BCBFDA51}">
      <text>
        <r>
          <rPr>
            <b/>
            <sz val="8"/>
            <color indexed="81"/>
            <rFont val="Tahoma"/>
            <family val="2"/>
          </rPr>
          <t>Bruno Merven:</t>
        </r>
        <r>
          <rPr>
            <sz val="8"/>
            <color indexed="81"/>
            <rFont val="Tahoma"/>
            <family val="2"/>
          </rPr>
          <t xml:space="preserve">
SOL rural+urban - seems a bit high!
</t>
        </r>
      </text>
    </comment>
    <comment ref="M36" authorId="1" shapeId="0" xr:uid="{149CE0B8-E50F-4C55-BAE9-C2036AC00C6F}">
      <text>
        <r>
          <rPr>
            <b/>
            <sz val="8"/>
            <color indexed="81"/>
            <rFont val="Tahoma"/>
            <family val="2"/>
          </rPr>
          <t>Bruno Merven:</t>
        </r>
        <r>
          <rPr>
            <sz val="8"/>
            <color indexed="81"/>
            <rFont val="Tahoma"/>
            <family val="2"/>
          </rPr>
          <t xml:space="preserve">
A. Stone/LTMS</t>
        </r>
      </text>
    </comment>
    <comment ref="AE38" authorId="1" shapeId="0" xr:uid="{A082D722-1870-4E36-8502-57CC8B0519F2}">
      <text>
        <r>
          <rPr>
            <b/>
            <sz val="8"/>
            <color indexed="81"/>
            <rFont val="Tahoma"/>
            <family val="2"/>
          </rPr>
          <t>Bruno Merven:</t>
        </r>
        <r>
          <rPr>
            <sz val="8"/>
            <color indexed="81"/>
            <rFont val="Tahoma"/>
            <family val="2"/>
          </rPr>
          <t xml:space="preserve">
SOL (urban+rural)</t>
        </r>
      </text>
    </comment>
    <comment ref="P41" authorId="0" shapeId="0" xr:uid="{07FD33F2-3B9D-4CA1-8E71-BE814326861F}">
      <text>
        <r>
          <rPr>
            <b/>
            <sz val="9"/>
            <color indexed="81"/>
            <rFont val="Tahoma"/>
            <family val="2"/>
          </rPr>
          <t>Fadiel:</t>
        </r>
        <r>
          <rPr>
            <sz val="9"/>
            <color indexed="81"/>
            <rFont val="Tahoma"/>
            <family val="2"/>
          </rPr>
          <t xml:space="preserve">
calculated from Transnet ARs
</t>
        </r>
      </text>
    </comment>
    <comment ref="AD41" authorId="1" shapeId="0" xr:uid="{427EFB44-D7DC-446B-8C6C-A396371E4F5A}">
      <text>
        <r>
          <rPr>
            <b/>
            <sz val="8"/>
            <color indexed="81"/>
            <rFont val="Tahoma"/>
            <family val="2"/>
          </rPr>
          <t>Bruno Merven:</t>
        </r>
        <r>
          <rPr>
            <sz val="8"/>
            <color indexed="81"/>
            <rFont val="Tahoma"/>
            <family val="2"/>
          </rPr>
          <t xml:space="preserve">
SOL</t>
        </r>
      </text>
    </comment>
    <comment ref="AE44" authorId="2" shapeId="0" xr:uid="{5CEEDB6E-BB02-4897-9533-77927E5E7C8C}">
      <text>
        <r>
          <rPr>
            <b/>
            <sz val="12"/>
            <color indexed="81"/>
            <rFont val="Tahoma"/>
            <family val="2"/>
          </rPr>
          <t>fadiel:</t>
        </r>
        <r>
          <rPr>
            <sz val="12"/>
            <color indexed="81"/>
            <rFont val="Tahoma"/>
            <family val="2"/>
          </rPr>
          <t xml:space="preserve">
from transnet 2011/12 AR</t>
        </r>
      </text>
    </comment>
    <comment ref="L73" authorId="1" shapeId="0" xr:uid="{B9182796-C068-414D-8C03-AA3A6929E789}">
      <text>
        <r>
          <rPr>
            <b/>
            <sz val="8"/>
            <color indexed="81"/>
            <rFont val="Tahoma"/>
            <family val="2"/>
          </rPr>
          <t>Bruno Merven:</t>
        </r>
        <r>
          <rPr>
            <sz val="8"/>
            <color indexed="81"/>
            <rFont val="Tahoma"/>
            <family val="2"/>
          </rPr>
          <t xml:space="preserve">
</t>
        </r>
        <r>
          <rPr>
            <sz val="14"/>
            <color indexed="81"/>
            <rFont val="Tahoma"/>
            <family val="2"/>
          </rPr>
          <t>Metro rail 13.9
fadiel  (200?)
15.6991  satim  fudge factor 2012</t>
        </r>
      </text>
    </comment>
    <comment ref="J74" authorId="1" shapeId="0" xr:uid="{8BE5AAC8-F28A-43F5-9426-F03C17550E47}">
      <text>
        <r>
          <rPr>
            <b/>
            <sz val="8"/>
            <color indexed="81"/>
            <rFont val="Tahoma"/>
            <family val="2"/>
          </rPr>
          <t>Bruno Merven:</t>
        </r>
        <r>
          <rPr>
            <sz val="8"/>
            <color indexed="81"/>
            <rFont val="Tahoma"/>
            <family val="2"/>
          </rPr>
          <t xml:space="preserve">
World Bank 2007</t>
        </r>
      </text>
    </comment>
    <comment ref="K74" authorId="1" shapeId="0" xr:uid="{C8501284-F438-489E-9A51-B015F2AF6EAA}">
      <text>
        <r>
          <rPr>
            <b/>
            <sz val="8"/>
            <color indexed="81"/>
            <rFont val="Tahoma"/>
            <family val="2"/>
          </rPr>
          <t>Bruno Merven:</t>
        </r>
        <r>
          <rPr>
            <sz val="8"/>
            <color indexed="81"/>
            <rFont val="Tahoma"/>
            <family val="2"/>
          </rPr>
          <t xml:space="preserve">
rough guess</t>
        </r>
      </text>
    </comment>
    <comment ref="L75" authorId="1" shapeId="0" xr:uid="{F4CA1C83-D035-4680-B33E-33ECAEC8CE4C}">
      <text>
        <r>
          <rPr>
            <b/>
            <sz val="8"/>
            <color indexed="81"/>
            <rFont val="Tahoma"/>
            <family val="2"/>
          </rPr>
          <t>Bruno Merven:</t>
        </r>
        <r>
          <rPr>
            <sz val="8"/>
            <color indexed="81"/>
            <rFont val="Tahoma"/>
            <family val="2"/>
          </rPr>
          <t xml:space="preserve">
currently excludes pkm by air</t>
        </r>
      </text>
    </comment>
    <comment ref="H86" authorId="1" shapeId="0" xr:uid="{8906A6CC-1938-49C9-A186-7201648A4431}">
      <text>
        <r>
          <rPr>
            <b/>
            <sz val="8"/>
            <color indexed="81"/>
            <rFont val="Tahoma"/>
            <family val="2"/>
          </rPr>
          <t>Bruno Merven:</t>
        </r>
        <r>
          <rPr>
            <sz val="8"/>
            <color indexed="81"/>
            <rFont val="Tahoma"/>
            <family val="2"/>
          </rPr>
          <t xml:space="preserve">
</t>
        </r>
        <r>
          <rPr>
            <sz val="10"/>
            <color indexed="81"/>
            <rFont val="Tahoma"/>
            <family val="2"/>
          </rPr>
          <t>This value could be too high. If adjusted down the time budget split would go up.</t>
        </r>
      </text>
    </comment>
    <comment ref="J86" authorId="1" shapeId="0" xr:uid="{69DF5065-4278-4D97-8923-4AB1B589FB28}">
      <text>
        <r>
          <rPr>
            <b/>
            <sz val="8"/>
            <color indexed="81"/>
            <rFont val="Tahoma"/>
            <family val="2"/>
          </rPr>
          <t>Bruno Merven:</t>
        </r>
        <r>
          <rPr>
            <sz val="8"/>
            <color indexed="81"/>
            <rFont val="Tahoma"/>
            <family val="2"/>
          </rPr>
          <t xml:space="preserve">
household survey</t>
        </r>
      </text>
    </comment>
    <comment ref="M86" authorId="1" shapeId="0" xr:uid="{444FC7DA-92D5-4BD0-8051-C86F270A34D3}">
      <text>
        <r>
          <rPr>
            <b/>
            <sz val="8"/>
            <color indexed="81"/>
            <rFont val="Tahoma"/>
            <family val="2"/>
          </rPr>
          <t>Bruno Merven:</t>
        </r>
        <r>
          <rPr>
            <sz val="8"/>
            <color indexed="81"/>
            <rFont val="Tahoma"/>
            <family val="2"/>
          </rPr>
          <t xml:space="preserve">
hh travel survey 2013 reports 28% of hh witha car </t>
        </r>
      </text>
    </comment>
    <comment ref="J89" authorId="1" shapeId="0" xr:uid="{C33F1538-9518-43E9-AD59-0AF2BC55AF1A}">
      <text>
        <r>
          <rPr>
            <b/>
            <sz val="8"/>
            <color indexed="81"/>
            <rFont val="Tahoma"/>
            <family val="2"/>
          </rPr>
          <t>Bruno Merven:</t>
        </r>
        <r>
          <rPr>
            <sz val="8"/>
            <color indexed="81"/>
            <rFont val="Tahoma"/>
            <family val="2"/>
          </rPr>
          <t xml:space="preserve">
Current Assumption is that moto ownership is in the same ratio as car ownership.</t>
        </r>
      </text>
    </comment>
    <comment ref="A126" authorId="2" shapeId="0" xr:uid="{C7534427-7D95-4EB7-890E-8A2922D7D65B}">
      <text>
        <r>
          <rPr>
            <b/>
            <sz val="8"/>
            <color indexed="81"/>
            <rFont val="Tahoma"/>
            <family val="2"/>
          </rPr>
          <t>ESAP PC:</t>
        </r>
        <r>
          <rPr>
            <sz val="8"/>
            <color indexed="81"/>
            <rFont val="Tahoma"/>
            <family val="2"/>
          </rPr>
          <t xml:space="preserve">
tkm scenarios_v3</t>
        </r>
      </text>
    </comment>
    <comment ref="A151" authorId="2" shapeId="0" xr:uid="{1D25118E-9EE1-44D7-AC44-BBD888E76ABD}">
      <text>
        <r>
          <rPr>
            <b/>
            <sz val="8"/>
            <color indexed="81"/>
            <rFont val="Tahoma"/>
            <family val="2"/>
          </rPr>
          <t>ESAP PC:</t>
        </r>
        <r>
          <rPr>
            <sz val="8"/>
            <color indexed="81"/>
            <rFont val="Tahoma"/>
            <family val="2"/>
          </rPr>
          <t xml:space="preserve">
SATIM FDM DOE SAPIA Calibration_v2</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Fadiel</author>
    <author>Bruno Merven</author>
    <author>ESAP PC</author>
  </authors>
  <commentList>
    <comment ref="Z27" authorId="0" shapeId="0" xr:uid="{16BF90F6-9EDB-4FEF-A76D-B6425052D723}">
      <text>
        <r>
          <rPr>
            <b/>
            <sz val="9"/>
            <color indexed="81"/>
            <rFont val="Tahoma"/>
            <family val="2"/>
          </rPr>
          <t>Fadiel:</t>
        </r>
        <r>
          <rPr>
            <sz val="9"/>
            <color indexed="81"/>
            <rFont val="Tahoma"/>
            <family val="2"/>
          </rPr>
          <t xml:space="preserve">
Paste from Analytica
</t>
        </r>
      </text>
    </comment>
    <comment ref="M35" authorId="1" shapeId="0" xr:uid="{D13DF1BA-65CF-4FF1-B771-54AE4FB60F85}">
      <text>
        <r>
          <rPr>
            <b/>
            <sz val="8"/>
            <color indexed="81"/>
            <rFont val="Tahoma"/>
            <family val="2"/>
          </rPr>
          <t>Bruno Merven:</t>
        </r>
        <r>
          <rPr>
            <sz val="8"/>
            <color indexed="81"/>
            <rFont val="Tahoma"/>
            <family val="2"/>
          </rPr>
          <t xml:space="preserve">
A. Stone/LTMS</t>
        </r>
      </text>
    </comment>
    <comment ref="AE35" authorId="1" shapeId="0" xr:uid="{B4BE6C64-23D5-44D6-8A66-19A455E873FA}">
      <text>
        <r>
          <rPr>
            <b/>
            <sz val="8"/>
            <color indexed="81"/>
            <rFont val="Tahoma"/>
            <family val="2"/>
          </rPr>
          <t>Bruno Merven:</t>
        </r>
        <r>
          <rPr>
            <sz val="8"/>
            <color indexed="81"/>
            <rFont val="Tahoma"/>
            <family val="2"/>
          </rPr>
          <t xml:space="preserve">
SOL rural+urban - seems a bit high!
</t>
        </r>
      </text>
    </comment>
    <comment ref="M36" authorId="1" shapeId="0" xr:uid="{A22CCE89-593D-4E4E-A112-A194E96FAFC0}">
      <text>
        <r>
          <rPr>
            <b/>
            <sz val="8"/>
            <color indexed="81"/>
            <rFont val="Tahoma"/>
            <family val="2"/>
          </rPr>
          <t>Bruno Merven:</t>
        </r>
        <r>
          <rPr>
            <sz val="8"/>
            <color indexed="81"/>
            <rFont val="Tahoma"/>
            <family val="2"/>
          </rPr>
          <t xml:space="preserve">
A. Stone/LTMS</t>
        </r>
      </text>
    </comment>
    <comment ref="AE38" authorId="1" shapeId="0" xr:uid="{2B47FD9D-643F-4E79-9EFC-4A70740C2DA1}">
      <text>
        <r>
          <rPr>
            <b/>
            <sz val="8"/>
            <color indexed="81"/>
            <rFont val="Tahoma"/>
            <family val="2"/>
          </rPr>
          <t>Bruno Merven:</t>
        </r>
        <r>
          <rPr>
            <sz val="8"/>
            <color indexed="81"/>
            <rFont val="Tahoma"/>
            <family val="2"/>
          </rPr>
          <t xml:space="preserve">
SOL (urban+rural)</t>
        </r>
      </text>
    </comment>
    <comment ref="P41" authorId="0" shapeId="0" xr:uid="{C9ABE63D-2B9D-437D-BE31-634AB7985F1E}">
      <text>
        <r>
          <rPr>
            <b/>
            <sz val="9"/>
            <color indexed="81"/>
            <rFont val="Tahoma"/>
            <family val="2"/>
          </rPr>
          <t>Fadiel:</t>
        </r>
        <r>
          <rPr>
            <sz val="9"/>
            <color indexed="81"/>
            <rFont val="Tahoma"/>
            <family val="2"/>
          </rPr>
          <t xml:space="preserve">
calculated from Transnet ARs
</t>
        </r>
      </text>
    </comment>
    <comment ref="AD41" authorId="1" shapeId="0" xr:uid="{BAF06086-1F68-4281-9766-26982227AD65}">
      <text>
        <r>
          <rPr>
            <b/>
            <sz val="8"/>
            <color indexed="81"/>
            <rFont val="Tahoma"/>
            <family val="2"/>
          </rPr>
          <t>Bruno Merven:</t>
        </r>
        <r>
          <rPr>
            <sz val="8"/>
            <color indexed="81"/>
            <rFont val="Tahoma"/>
            <family val="2"/>
          </rPr>
          <t xml:space="preserve">
SOL</t>
        </r>
      </text>
    </comment>
    <comment ref="AE44" authorId="2" shapeId="0" xr:uid="{1B3B1FCF-CA84-4E59-95AD-962A29CF1D94}">
      <text>
        <r>
          <rPr>
            <b/>
            <sz val="12"/>
            <color indexed="81"/>
            <rFont val="Tahoma"/>
            <family val="2"/>
          </rPr>
          <t>fadiel:</t>
        </r>
        <r>
          <rPr>
            <sz val="12"/>
            <color indexed="81"/>
            <rFont val="Tahoma"/>
            <family val="2"/>
          </rPr>
          <t xml:space="preserve">
from transnet 2011/12 AR</t>
        </r>
      </text>
    </comment>
    <comment ref="L73" authorId="1" shapeId="0" xr:uid="{F0F1399D-2A7B-474A-A0BD-36A3574832D2}">
      <text>
        <r>
          <rPr>
            <b/>
            <sz val="8"/>
            <color indexed="81"/>
            <rFont val="Tahoma"/>
            <family val="2"/>
          </rPr>
          <t>Bruno Merven:</t>
        </r>
        <r>
          <rPr>
            <sz val="8"/>
            <color indexed="81"/>
            <rFont val="Tahoma"/>
            <family val="2"/>
          </rPr>
          <t xml:space="preserve">
</t>
        </r>
        <r>
          <rPr>
            <sz val="14"/>
            <color indexed="81"/>
            <rFont val="Tahoma"/>
            <family val="2"/>
          </rPr>
          <t>Metro rail 13.9
fadiel  (200?)
15.6991  satim  fudge factor 2012.
7: mpkm/PJ</t>
        </r>
      </text>
    </comment>
    <comment ref="J74" authorId="1" shapeId="0" xr:uid="{D0C69AA4-8CC3-4E13-B106-0E78BEC50009}">
      <text>
        <r>
          <rPr>
            <b/>
            <sz val="8"/>
            <color indexed="81"/>
            <rFont val="Tahoma"/>
            <family val="2"/>
          </rPr>
          <t>Bruno Merven:</t>
        </r>
        <r>
          <rPr>
            <sz val="8"/>
            <color indexed="81"/>
            <rFont val="Tahoma"/>
            <family val="2"/>
          </rPr>
          <t xml:space="preserve">
World Bank 2007</t>
        </r>
      </text>
    </comment>
    <comment ref="K74" authorId="1" shapeId="0" xr:uid="{3038EBE1-6FEB-41AB-91B4-FA4A9E682886}">
      <text>
        <r>
          <rPr>
            <b/>
            <sz val="8"/>
            <color indexed="81"/>
            <rFont val="Tahoma"/>
            <family val="2"/>
          </rPr>
          <t>Bruno Merven:</t>
        </r>
        <r>
          <rPr>
            <sz val="8"/>
            <color indexed="81"/>
            <rFont val="Tahoma"/>
            <family val="2"/>
          </rPr>
          <t xml:space="preserve">
rough guess</t>
        </r>
      </text>
    </comment>
    <comment ref="L75" authorId="1" shapeId="0" xr:uid="{919F735E-6EFE-4F34-867C-901E9B5B4FBB}">
      <text>
        <r>
          <rPr>
            <b/>
            <sz val="8"/>
            <color indexed="81"/>
            <rFont val="Tahoma"/>
            <family val="2"/>
          </rPr>
          <t>Bruno Merven:</t>
        </r>
        <r>
          <rPr>
            <sz val="8"/>
            <color indexed="81"/>
            <rFont val="Tahoma"/>
            <family val="2"/>
          </rPr>
          <t xml:space="preserve">
currently excludes pkm by air</t>
        </r>
      </text>
    </comment>
    <comment ref="H86" authorId="1" shapeId="0" xr:uid="{AF6E9149-C422-4637-A434-17F9097F8576}">
      <text>
        <r>
          <rPr>
            <b/>
            <sz val="8"/>
            <color indexed="81"/>
            <rFont val="Tahoma"/>
            <family val="2"/>
          </rPr>
          <t>Bruno Merven:</t>
        </r>
        <r>
          <rPr>
            <sz val="8"/>
            <color indexed="81"/>
            <rFont val="Tahoma"/>
            <family val="2"/>
          </rPr>
          <t xml:space="preserve">
</t>
        </r>
        <r>
          <rPr>
            <sz val="10"/>
            <color indexed="81"/>
            <rFont val="Tahoma"/>
            <family val="2"/>
          </rPr>
          <t>This value could be too high. If adjusted down the time budget split would go up.</t>
        </r>
      </text>
    </comment>
    <comment ref="J86" authorId="1" shapeId="0" xr:uid="{492D59DC-DCEE-4D82-A18C-540476A96F34}">
      <text>
        <r>
          <rPr>
            <b/>
            <sz val="8"/>
            <color indexed="81"/>
            <rFont val="Tahoma"/>
            <family val="2"/>
          </rPr>
          <t>Bruno Merven:</t>
        </r>
        <r>
          <rPr>
            <sz val="8"/>
            <color indexed="81"/>
            <rFont val="Tahoma"/>
            <family val="2"/>
          </rPr>
          <t xml:space="preserve">
household survey</t>
        </r>
      </text>
    </comment>
    <comment ref="M86" authorId="1" shapeId="0" xr:uid="{91930F6F-B2A7-4811-94F6-12A88C63D9BB}">
      <text>
        <r>
          <rPr>
            <b/>
            <sz val="8"/>
            <color indexed="81"/>
            <rFont val="Tahoma"/>
            <family val="2"/>
          </rPr>
          <t>Bruno Merven:</t>
        </r>
        <r>
          <rPr>
            <sz val="8"/>
            <color indexed="81"/>
            <rFont val="Tahoma"/>
            <family val="2"/>
          </rPr>
          <t xml:space="preserve">
hh travel survey 2003 reports 77% of hh without a car - ref pg 110 from Lombard et al.</t>
        </r>
      </text>
    </comment>
    <comment ref="J89" authorId="1" shapeId="0" xr:uid="{4DC07A3D-302E-4A68-9BB0-C070C7049D45}">
      <text>
        <r>
          <rPr>
            <b/>
            <sz val="8"/>
            <color indexed="81"/>
            <rFont val="Tahoma"/>
            <family val="2"/>
          </rPr>
          <t>Bruno Merven:</t>
        </r>
        <r>
          <rPr>
            <sz val="8"/>
            <color indexed="81"/>
            <rFont val="Tahoma"/>
            <family val="2"/>
          </rPr>
          <t xml:space="preserve">
Current Assumption is that moto ownership is in the same ratio as car ownership.</t>
        </r>
      </text>
    </comment>
    <comment ref="A126" authorId="2" shapeId="0" xr:uid="{5BB91B35-D242-4F9D-98E9-D941AE2CFBC3}">
      <text>
        <r>
          <rPr>
            <b/>
            <sz val="8"/>
            <color indexed="81"/>
            <rFont val="Tahoma"/>
            <family val="2"/>
          </rPr>
          <t>ESAP PC:</t>
        </r>
        <r>
          <rPr>
            <sz val="8"/>
            <color indexed="81"/>
            <rFont val="Tahoma"/>
            <family val="2"/>
          </rPr>
          <t xml:space="preserve">
tkm scenarios_v3</t>
        </r>
      </text>
    </comment>
    <comment ref="A151" authorId="2" shapeId="0" xr:uid="{93BB1DD4-DE15-450A-BF84-40204FC022D0}">
      <text>
        <r>
          <rPr>
            <b/>
            <sz val="8"/>
            <color indexed="81"/>
            <rFont val="Tahoma"/>
            <family val="2"/>
          </rPr>
          <t>ESAP PC:</t>
        </r>
        <r>
          <rPr>
            <sz val="8"/>
            <color indexed="81"/>
            <rFont val="Tahoma"/>
            <family val="2"/>
          </rPr>
          <t xml:space="preserve">
SATIM FDM DOE SAPIA Calibration_v2</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tc={4A412747-D93B-4447-888E-72220ADCBF76}</author>
    <author>tc={60667CC2-4F4A-4812-B03C-FC4FCFAC1576}</author>
    <author>tc={6B9D6E88-508D-4684-8623-015EFB6E252E}</author>
    <author>tc={9A7B1247-3136-4A7E-A77A-8C218D1AD011}</author>
    <author>tc={841296E5-9C9C-48A1-9472-ADC630808A06}</author>
    <author>tc={9F3C0005-9191-4998-8F63-8CDE76E89084}</author>
    <author>Fadiel Ahjum</author>
    <author>Fadiel</author>
    <author>tc={9938EC76-5E08-4F4F-8B31-055D35118E98}</author>
  </authors>
  <commentList>
    <comment ref="AI69" authorId="0" shapeId="0" xr:uid="{4A412747-D93B-4447-888E-72220ADCBF76}">
      <text>
        <t>[Threaded comment]
Your version of Excel allows you to read this threaded comment; however, any edits to it will get removed if the file is opened in a newer version of Excel. Learn more: https://go.microsoft.com/fwlink/?linkid=870924
Comment:
    From DFFE 2020 Inventory</t>
      </text>
    </comment>
    <comment ref="AG70" authorId="1" shapeId="0" xr:uid="{60667CC2-4F4A-4812-B03C-FC4FCFAC1576}">
      <text>
        <t>[Threaded comment]
Your version of Excel allows you to read this threaded comment; however, any edits to it will get removed if the file is opened in a newer version of Excel. Learn more: https://go.microsoft.com/fwlink/?linkid=870924
Comment:
    DFFE 2020 Inventory</t>
      </text>
    </comment>
    <comment ref="AF71" authorId="2" shapeId="0" xr:uid="{6B9D6E88-508D-4684-8623-015EFB6E252E}">
      <text>
        <t>[Threaded comment]
Your version of Excel allows you to read this threaded comment; however, any edits to it will get removed if the file is opened in a newer version of Excel. Learn more: https://go.microsoft.com/fwlink/?linkid=870924
Comment:
    ESRG EB</t>
      </text>
    </comment>
    <comment ref="AK71" authorId="3" shapeId="0" xr:uid="{9A7B1247-3136-4A7E-A77A-8C218D1AD011}">
      <text>
        <t>[Threaded comment]
Your version of Excel allows you to read this threaded comment; however, any edits to it will get removed if the file is opened in a newer version of Excel. Learn more: https://go.microsoft.com/fwlink/?linkid=870924
Comment:
    ESRG EB (Liquid Fuels Database)</t>
      </text>
    </comment>
    <comment ref="AL86" authorId="4" shapeId="0" xr:uid="{841296E5-9C9C-48A1-9472-ADC630808A06}">
      <text>
        <t>[Threaded comment]
Your version of Excel allows you to read this threaded comment; however, any edits to it will get removed if the file is opened in a newer version of Excel. Learn more: https://go.microsoft.com/fwlink/?linkid=870924
Comment:
    From ESRG EB 2017  (Liquid Fuels Database)</t>
      </text>
    </comment>
    <comment ref="AL87" authorId="5" shapeId="0" xr:uid="{9F3C0005-9191-4998-8F63-8CDE76E89084}">
      <text>
        <t>[Threaded comment]
Your version of Excel allows you to read this threaded comment; however, any edits to it will get removed if the file is opened in a newer version of Excel. Learn more: https://go.microsoft.com/fwlink/?linkid=870924
Comment:
    From ESRG EB 2017  (Liquid Fuels Database) - under "Fishing"</t>
      </text>
    </comment>
    <comment ref="BG125" authorId="6" shapeId="0" xr:uid="{E525EE22-2A39-4395-9A4F-63EBE3F50BF0}">
      <text>
        <r>
          <rPr>
            <b/>
            <sz val="9"/>
            <color indexed="81"/>
            <rFont val="Tahoma"/>
            <family val="2"/>
          </rPr>
          <t>Fadiel Ahjum:</t>
        </r>
        <r>
          <rPr>
            <sz val="9"/>
            <color indexed="81"/>
            <rFont val="Tahoma"/>
            <family val="2"/>
          </rPr>
          <t xml:space="preserve">
</t>
        </r>
      </text>
    </comment>
    <comment ref="BL126" authorId="7" shapeId="0" xr:uid="{7C8DDEE0-7649-474C-B050-82A64E5FFF1A}">
      <text>
        <r>
          <rPr>
            <b/>
            <sz val="9"/>
            <color indexed="81"/>
            <rFont val="Tahoma"/>
            <family val="2"/>
          </rPr>
          <t>Fadiel:</t>
        </r>
        <r>
          <rPr>
            <sz val="9"/>
            <color indexed="81"/>
            <rFont val="Tahoma"/>
            <family val="2"/>
          </rPr>
          <t xml:space="preserve">
Transnet SR (2017)</t>
        </r>
      </text>
    </comment>
    <comment ref="BM126" authorId="6" shapeId="0" xr:uid="{35564885-7EAE-424F-A276-6013973CA9C1}">
      <text>
        <r>
          <rPr>
            <b/>
            <sz val="9"/>
            <color indexed="81"/>
            <rFont val="Tahoma"/>
            <family val="2"/>
          </rPr>
          <t>Fadiel Ahjum:</t>
        </r>
        <r>
          <rPr>
            <sz val="9"/>
            <color indexed="81"/>
            <rFont val="Tahoma"/>
            <family val="2"/>
          </rPr>
          <t xml:space="preserve">
Transnet 2019 AR</t>
        </r>
      </text>
    </comment>
    <comment ref="BK127" authorId="7" shapeId="0" xr:uid="{4736A589-C983-4402-8153-E7DC141BB05F}">
      <text>
        <r>
          <rPr>
            <b/>
            <sz val="9"/>
            <color indexed="81"/>
            <rFont val="Tahoma"/>
            <family val="2"/>
          </rPr>
          <t>Fadiel:</t>
        </r>
        <r>
          <rPr>
            <sz val="9"/>
            <color indexed="81"/>
            <rFont val="Tahoma"/>
            <family val="2"/>
          </rPr>
          <t xml:space="preserve">
Transnet SR (2017)</t>
        </r>
      </text>
    </comment>
    <comment ref="BK129" authorId="7" shapeId="0" xr:uid="{F438F9F6-6927-4B24-B9EA-3BD34B1AC520}">
      <text>
        <r>
          <rPr>
            <b/>
            <sz val="9"/>
            <color indexed="81"/>
            <rFont val="Tahoma"/>
            <family val="2"/>
          </rPr>
          <t>Fadiel:</t>
        </r>
        <r>
          <rPr>
            <sz val="9"/>
            <color indexed="81"/>
            <rFont val="Tahoma"/>
            <family val="2"/>
          </rPr>
          <t xml:space="preserve">
Transnet SR (2017)</t>
        </r>
      </text>
    </comment>
    <comment ref="BH132" authorId="8" shapeId="0" xr:uid="{9938EC76-5E08-4F4F-8B31-055D35118E98}">
      <text>
        <t>[Threaded comment]
Your version of Excel allows you to read this threaded comment; however, any edits to it will get removed if the file is opened in a newer version of Excel. Learn more: https://go.microsoft.com/fwlink/?linkid=870924
Comment:
    Accounting for other elc uses by Transnet here as well</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tc={7DC3A092-42C1-4E7C-BBA1-997EC9C2FF95}</author>
    <author>Fadiel</author>
    <author>fadiel</author>
    <author>ESAP PC</author>
    <author>TiisetsoM</author>
    <author>Fadiel Ahjum</author>
    <author>Adrian Stone</author>
    <author>Bruno Merven</author>
  </authors>
  <commentList>
    <comment ref="AU12" authorId="0" shapeId="0" xr:uid="{7DC3A092-42C1-4E7C-BBA1-997EC9C2FF95}">
      <text>
        <t>[Threaded comment]
Your version of Excel allows you to read this threaded comment; however, any edits to it will get removed if the file is opened in a newer version of Excel. Learn more: https://go.microsoft.com/fwlink/?linkid=870924
Comment:
    reduced from 0.8 to try and reduce the jump up in 2028-2029 in sales</t>
      </text>
    </comment>
    <comment ref="AK13" authorId="1" shapeId="0" xr:uid="{336EFDDB-26E0-40A4-B045-4AFD024BF6B0}">
      <text>
        <r>
          <rPr>
            <b/>
            <sz val="9"/>
            <color indexed="81"/>
            <rFont val="Tahoma"/>
            <family val="2"/>
          </rPr>
          <t>Fadiel:</t>
        </r>
        <r>
          <rPr>
            <sz val="9"/>
            <color indexed="81"/>
            <rFont val="Tahoma"/>
            <family val="2"/>
          </rPr>
          <t xml:space="preserve">
Manually adjusted for zero residual capacity in 2050</t>
        </r>
      </text>
    </comment>
    <comment ref="AQ14" authorId="2" shapeId="0" xr:uid="{E50AD792-189C-44CE-A429-D63B29844C62}">
      <text>
        <r>
          <rPr>
            <b/>
            <sz val="9"/>
            <color indexed="81"/>
            <rFont val="Tahoma"/>
            <family val="2"/>
          </rPr>
          <t>fadiel:</t>
        </r>
        <r>
          <rPr>
            <sz val="9"/>
            <color indexed="81"/>
            <rFont val="Tahoma"/>
            <family val="2"/>
          </rPr>
          <t xml:space="preserve">
NAAMSA Aggregated National ?</t>
        </r>
      </text>
    </comment>
    <comment ref="AZ14" authorId="2" shapeId="0" xr:uid="{6C947334-6B88-4C7C-B550-5915DF107EA2}">
      <text>
        <r>
          <rPr>
            <b/>
            <sz val="9"/>
            <color indexed="81"/>
            <rFont val="Tahoma"/>
            <family val="2"/>
          </rPr>
          <t>fadiel:</t>
        </r>
        <r>
          <rPr>
            <sz val="9"/>
            <color indexed="81"/>
            <rFont val="Tahoma"/>
            <family val="2"/>
          </rPr>
          <t xml:space="preserve">
NAAMSA Aggregated National &amp; Analytica</t>
        </r>
      </text>
    </comment>
    <comment ref="H16" authorId="3" shapeId="0" xr:uid="{DE461EDE-381A-4DF5-AAB2-5C0E29047B5C}">
      <text>
        <r>
          <rPr>
            <b/>
            <sz val="8"/>
            <color indexed="81"/>
            <rFont val="Tahoma"/>
            <family val="2"/>
          </rPr>
          <t>fadiel</t>
        </r>
        <r>
          <rPr>
            <sz val="12"/>
            <color indexed="81"/>
            <rFont val="Tahoma"/>
            <family val="2"/>
          </rPr>
          <t xml:space="preserve">
duplicate years  to account for  external ly linked formulae</t>
        </r>
      </text>
    </comment>
    <comment ref="Y53" authorId="4" shapeId="0" xr:uid="{839847E4-1A55-489D-996B-34FB572DEDDF}">
      <text>
        <r>
          <rPr>
            <b/>
            <sz val="9"/>
            <color indexed="81"/>
            <rFont val="Tahoma"/>
            <family val="2"/>
          </rPr>
          <t>TiisetsoM:</t>
        </r>
        <r>
          <rPr>
            <sz val="9"/>
            <color indexed="81"/>
            <rFont val="Tahoma"/>
            <family val="2"/>
          </rPr>
          <t xml:space="preserve">
reference
</t>
        </r>
      </text>
    </comment>
    <comment ref="Z53" authorId="3" shapeId="0" xr:uid="{A6139D74-C2E4-4F64-933E-005DB0EB70BE}">
      <text>
        <r>
          <rPr>
            <b/>
            <sz val="9"/>
            <color indexed="81"/>
            <rFont val="Tahoma"/>
            <family val="2"/>
          </rPr>
          <t>ESAP PC:</t>
        </r>
        <r>
          <rPr>
            <sz val="9"/>
            <color indexed="81"/>
            <rFont val="Tahoma"/>
            <family val="2"/>
          </rPr>
          <t xml:space="preserve">
EFF scenario</t>
        </r>
      </text>
    </comment>
    <comment ref="AX55" authorId="5" shapeId="0" xr:uid="{913000B6-FB7B-4F60-A091-159914FDE7AF}">
      <text>
        <r>
          <rPr>
            <b/>
            <sz val="9"/>
            <color indexed="81"/>
            <rFont val="Tahoma"/>
            <family val="2"/>
          </rPr>
          <t>Fadiel Ahjum:</t>
        </r>
        <r>
          <rPr>
            <sz val="9"/>
            <color indexed="81"/>
            <rFont val="Tahoma"/>
            <family val="2"/>
          </rPr>
          <t xml:space="preserve">
"Costs for service and maintenance of EV’s are 20 - 30% lower than for conventional vehicles" (DHL, Germany)
http://e-mobility-nsr.eu/fileadmin/user_upload/downloads/info-pool/E-Mobility_-_Final_report_7.3.pdf</t>
        </r>
      </text>
    </comment>
    <comment ref="AY55" authorId="5" shapeId="0" xr:uid="{55366ACA-AE2C-47C8-A355-86E0C474B1A1}">
      <text>
        <r>
          <rPr>
            <b/>
            <sz val="9"/>
            <color indexed="81"/>
            <rFont val="Tahoma"/>
            <family val="2"/>
          </rPr>
          <t>Fadiel Ahjum:</t>
        </r>
        <r>
          <rPr>
            <sz val="9"/>
            <color indexed="81"/>
            <rFont val="Tahoma"/>
            <family val="2"/>
          </rPr>
          <t xml:space="preserve">
search parameter
</t>
        </r>
      </text>
    </comment>
    <comment ref="AX56" authorId="5" shapeId="0" xr:uid="{D9729721-681D-4621-AFD1-E55657F912DA}">
      <text>
        <r>
          <rPr>
            <sz val="9"/>
            <color indexed="81"/>
            <rFont val="Tahoma"/>
            <family val="2"/>
          </rPr>
          <t>fadiel:
Adrian's worksheet:EV OM Costs_v2 (maintenance)</t>
        </r>
      </text>
    </comment>
    <comment ref="Y57" authorId="4" shapeId="0" xr:uid="{79B9C394-2B18-402F-8F79-ABDEB0EAA8E6}">
      <text>
        <r>
          <rPr>
            <b/>
            <sz val="9"/>
            <color indexed="81"/>
            <rFont val="Tahoma"/>
            <family val="2"/>
          </rPr>
          <t>TiisetsoM:</t>
        </r>
        <r>
          <rPr>
            <sz val="9"/>
            <color indexed="81"/>
            <rFont val="Tahoma"/>
            <family val="2"/>
          </rPr>
          <t xml:space="preserve">
reference
</t>
        </r>
      </text>
    </comment>
    <comment ref="Z57" authorId="3" shapeId="0" xr:uid="{6693E282-0E2C-43A4-B77C-CA3ED7A4C4A2}">
      <text>
        <r>
          <rPr>
            <b/>
            <sz val="9"/>
            <color indexed="81"/>
            <rFont val="Tahoma"/>
            <family val="2"/>
          </rPr>
          <t>ESAP PC:</t>
        </r>
        <r>
          <rPr>
            <sz val="9"/>
            <color indexed="81"/>
            <rFont val="Tahoma"/>
            <family val="2"/>
          </rPr>
          <t xml:space="preserve">
EFF scenario</t>
        </r>
      </text>
    </comment>
    <comment ref="AA58" authorId="2" shapeId="0" xr:uid="{FE4B5240-2108-4AA8-8DEC-C5845020E075}">
      <text>
        <r>
          <rPr>
            <b/>
            <sz val="9"/>
            <color indexed="81"/>
            <rFont val="Tahoma"/>
            <family val="2"/>
          </rPr>
          <t>fadiel:</t>
        </r>
        <r>
          <rPr>
            <sz val="9"/>
            <color indexed="81"/>
            <rFont val="Tahoma"/>
            <family val="2"/>
          </rPr>
          <t xml:space="preserve">
using AEA 2010 values
</t>
        </r>
      </text>
    </comment>
    <comment ref="S61" authorId="6" shapeId="0" xr:uid="{EC8E30DB-31C9-45D5-8083-DE34FB82103E}">
      <text>
        <r>
          <rPr>
            <b/>
            <sz val="9"/>
            <color indexed="81"/>
            <rFont val="Tahoma"/>
            <family val="2"/>
          </rPr>
          <t>Adrian Stone:</t>
        </r>
        <r>
          <rPr>
            <sz val="9"/>
            <color indexed="81"/>
            <rFont val="Tahoma"/>
            <family val="2"/>
          </rPr>
          <t xml:space="preserve">
NREL - FCB Status Report 2012: Fuel cells buses show a 90 - 100% fuel economy improvement.
</t>
        </r>
      </text>
    </comment>
    <comment ref="S62" authorId="3" shapeId="0" xr:uid="{B167357D-385F-4F1C-9396-35689D742C59}">
      <text>
        <r>
          <rPr>
            <b/>
            <sz val="9"/>
            <color indexed="81"/>
            <rFont val="Tahoma"/>
            <family val="2"/>
          </rPr>
          <t xml:space="preserve">fadiel:
Adrian's WIDER study.
</t>
        </r>
      </text>
    </comment>
    <comment ref="S64" authorId="7" shapeId="0" xr:uid="{9EA61E43-38F4-48AF-862C-A8275CA2FC18}">
      <text>
        <r>
          <rPr>
            <b/>
            <sz val="8"/>
            <color indexed="81"/>
            <rFont val="Tahoma"/>
            <family val="2"/>
          </rPr>
          <t>Bruno Merven:</t>
        </r>
        <r>
          <rPr>
            <sz val="8"/>
            <color indexed="81"/>
            <rFont val="Tahoma"/>
            <family val="2"/>
          </rPr>
          <t xml:space="preserve">
based on US data</t>
        </r>
      </text>
    </comment>
    <comment ref="S65" authorId="6" shapeId="0" xr:uid="{C1ACECC4-4E5D-4A7B-B455-9708990378E5}">
      <text>
        <r>
          <rPr>
            <b/>
            <sz val="9"/>
            <color indexed="81"/>
            <rFont val="Tahoma"/>
            <family val="2"/>
          </rPr>
          <t>Adrian Stone:</t>
        </r>
        <r>
          <rPr>
            <sz val="9"/>
            <color indexed="81"/>
            <rFont val="Tahoma"/>
            <family val="2"/>
          </rPr>
          <t xml:space="preserve">
l/100km diesel</t>
        </r>
      </text>
    </comment>
    <comment ref="S66" authorId="7" shapeId="0" xr:uid="{B1C732D6-57A8-4335-B89C-A9CC237C805F}">
      <text>
        <r>
          <rPr>
            <b/>
            <sz val="8"/>
            <color indexed="81"/>
            <rFont val="Tahoma"/>
            <family val="2"/>
          </rPr>
          <t>Bruno Merven:</t>
        </r>
        <r>
          <rPr>
            <sz val="8"/>
            <color indexed="81"/>
            <rFont val="Tahoma"/>
            <family val="2"/>
          </rPr>
          <t xml:space="preserve">
based on US data</t>
        </r>
      </text>
    </comment>
    <comment ref="S68" authorId="3" shapeId="0" xr:uid="{0A89294A-A7C2-498B-AAE9-3650A854166E}">
      <text>
        <r>
          <rPr>
            <b/>
            <sz val="9"/>
            <color indexed="81"/>
            <rFont val="Tahoma"/>
            <family val="2"/>
          </rPr>
          <t xml:space="preserve">fadiel:
</t>
        </r>
        <r>
          <rPr>
            <sz val="9"/>
            <color indexed="81"/>
            <rFont val="Tahoma"/>
            <family val="2"/>
          </rPr>
          <t xml:space="preserve">Adrian's WIDER study.
Simple Average for all vehicle classes.
</t>
        </r>
      </text>
    </comment>
    <comment ref="T68" authorId="3" shapeId="0" xr:uid="{C47A5551-D662-488A-94A6-2FE8E84264C8}">
      <text>
        <r>
          <rPr>
            <b/>
            <sz val="9"/>
            <color indexed="81"/>
            <rFont val="Tahoma"/>
            <family val="2"/>
          </rPr>
          <t xml:space="preserve">fadiel:
</t>
        </r>
        <r>
          <rPr>
            <sz val="9"/>
            <color indexed="81"/>
            <rFont val="Tahoma"/>
            <family val="2"/>
          </rPr>
          <t xml:space="preserve">Adrian's WIDER study.
Simple Average for all vehicle classes.
</t>
        </r>
      </text>
    </comment>
    <comment ref="S69" authorId="7" shapeId="0" xr:uid="{8A337C57-DB9D-4765-ACE3-5AE5C280D8D2}">
      <text>
        <r>
          <rPr>
            <b/>
            <sz val="8"/>
            <color indexed="81"/>
            <rFont val="Tahoma"/>
            <family val="2"/>
          </rPr>
          <t>Fadiel Ahjum:
~20</t>
        </r>
        <r>
          <rPr>
            <sz val="8"/>
            <color indexed="81"/>
            <rFont val="Tahoma"/>
            <family val="2"/>
          </rPr>
          <t xml:space="preserve"> (adjusted for real world)</t>
        </r>
        <r>
          <rPr>
            <b/>
            <sz val="8"/>
            <color indexed="81"/>
            <rFont val="Tahoma"/>
            <family val="2"/>
          </rPr>
          <t xml:space="preserve">
</t>
        </r>
        <r>
          <rPr>
            <i/>
            <sz val="8"/>
            <color indexed="81"/>
            <rFont val="Tahoma"/>
            <family val="2"/>
          </rPr>
          <t>Electric vehicles: Literature review of technology costs and carbon emissions</t>
        </r>
        <r>
          <rPr>
            <sz val="8"/>
            <color indexed="81"/>
            <rFont val="Tahoma"/>
            <family val="2"/>
          </rPr>
          <t xml:space="preserve"> (2016)
C</t>
        </r>
        <r>
          <rPr>
            <i/>
            <sz val="8"/>
            <color indexed="81"/>
            <rFont val="Tahoma"/>
            <family val="2"/>
          </rPr>
          <t>omparative measurements of the energy consumption of 51 electric, hybrid and internal combustion engine vehicles</t>
        </r>
        <r>
          <rPr>
            <sz val="8"/>
            <color indexed="81"/>
            <rFont val="Tahoma"/>
            <family val="2"/>
          </rPr>
          <t xml:space="preserve"> (2011)
Assuming 85% charging system efficiency</t>
        </r>
        <r>
          <rPr>
            <b/>
            <sz val="8"/>
            <color indexed="81"/>
            <rFont val="Tahoma"/>
            <family val="2"/>
          </rPr>
          <t xml:space="preserve">
Bruno Merven:</t>
        </r>
        <r>
          <rPr>
            <sz val="8"/>
            <color indexed="81"/>
            <rFont val="Tahoma"/>
            <family val="2"/>
          </rPr>
          <t xml:space="preserve">
</t>
        </r>
        <r>
          <rPr>
            <b/>
            <sz val="8"/>
            <color indexed="81"/>
            <rFont val="Tahoma"/>
            <family val="2"/>
          </rPr>
          <t>24.4</t>
        </r>
        <r>
          <rPr>
            <sz val="8"/>
            <color indexed="81"/>
            <rFont val="Tahoma"/>
            <family val="2"/>
          </rPr>
          <t xml:space="preserve"> Based on Tesla Motors estimate includes battery charging inefficiencies (KWh/100km)</t>
        </r>
      </text>
    </comment>
    <comment ref="AH69" authorId="7" shapeId="0" xr:uid="{6D4808CB-12F0-43DF-9E21-B3DA8913C4B9}">
      <text>
        <r>
          <rPr>
            <b/>
            <sz val="8"/>
            <color indexed="81"/>
            <rFont val="Tahoma"/>
            <family val="2"/>
          </rPr>
          <t>Bruno Merven:</t>
        </r>
        <r>
          <rPr>
            <sz val="8"/>
            <color indexed="81"/>
            <rFont val="Tahoma"/>
            <family val="2"/>
          </rPr>
          <t xml:space="preserve">
Battery costs over lifetime of vehicle estimated to be 50% of vehicle cost as per - Coimbra e Costa (IEW 2012) based on Dallinger, D., Krampe, D. &amp; Wietschel, M., 2011. Vehicle-to-Grid Regulation Reserves Based on a Dynamic Simulation of Mobility Behavior. Smart Grid, IEEE Transactions, 2(2), pp.302-313. Available at: http://ieeexplore.ieee.org/xpls/abs_all.jsp?arnumber=5756687</t>
        </r>
      </text>
    </comment>
    <comment ref="S70" authorId="7" shapeId="0" xr:uid="{17EDD02F-4515-4591-9E99-FE0D4750923B}">
      <text>
        <r>
          <rPr>
            <b/>
            <sz val="8"/>
            <color indexed="81"/>
            <rFont val="Tahoma"/>
            <family val="2"/>
          </rPr>
          <t>Bruno Merven:</t>
        </r>
        <r>
          <rPr>
            <sz val="8"/>
            <color indexed="81"/>
            <rFont val="Tahoma"/>
            <family val="2"/>
          </rPr>
          <t xml:space="preserve">
Based on Momo_smp model - World average - gasoline equivalent</t>
        </r>
      </text>
    </comment>
    <comment ref="S71" authorId="6" shapeId="0" xr:uid="{8882DA66-C3F8-418C-BA0A-B7E45404A432}">
      <text>
        <r>
          <rPr>
            <b/>
            <sz val="9"/>
            <color indexed="81"/>
            <rFont val="Tahoma"/>
            <family val="2"/>
          </rPr>
          <t>Adrian Stone:</t>
        </r>
        <r>
          <rPr>
            <sz val="9"/>
            <color indexed="81"/>
            <rFont val="Tahoma"/>
            <family val="2"/>
          </rPr>
          <t xml:space="preserve">
Gasoline equivalent terms. 2012 data so escalated back 6 years.</t>
        </r>
      </text>
    </comment>
    <comment ref="S82" authorId="4" shapeId="0" xr:uid="{7D6B9C3F-898A-427A-A6C5-723595909890}">
      <text>
        <r>
          <rPr>
            <b/>
            <sz val="9"/>
            <color indexed="81"/>
            <rFont val="Tahoma"/>
            <family val="2"/>
          </rPr>
          <t>TiisetsoM:</t>
        </r>
        <r>
          <rPr>
            <sz val="9"/>
            <color indexed="81"/>
            <rFont val="Tahoma"/>
            <family val="2"/>
          </rPr>
          <t xml:space="preserve">
Based on US Data
</t>
        </r>
      </text>
    </comment>
    <comment ref="S83" authorId="4" shapeId="0" xr:uid="{02A945B5-83F0-4B64-81D6-DCA5CD016482}">
      <text>
        <r>
          <rPr>
            <b/>
            <sz val="9"/>
            <color indexed="81"/>
            <rFont val="Tahoma"/>
            <family val="2"/>
          </rPr>
          <t>TiisetsoM:</t>
        </r>
        <r>
          <rPr>
            <sz val="9"/>
            <color indexed="81"/>
            <rFont val="Tahoma"/>
            <family val="2"/>
          </rPr>
          <t xml:space="preserve">
Based on US Data:
http://energy.gov/sites/prod/files/2014/03/f8/deer12_kargul.pdf 
</t>
        </r>
      </text>
    </comment>
    <comment ref="S91" authorId="3" shapeId="0" xr:uid="{027F7F15-E768-4128-8EE6-64DBEC61FCAA}">
      <text>
        <r>
          <rPr>
            <b/>
            <sz val="9"/>
            <color indexed="81"/>
            <rFont val="Tahoma"/>
            <family val="2"/>
          </rPr>
          <t>ESAP PC:fadiel</t>
        </r>
        <r>
          <rPr>
            <sz val="9"/>
            <color indexed="81"/>
            <rFont val="Tahoma"/>
            <family val="2"/>
          </rPr>
          <t xml:space="preserve">
For electric vehicles: validate/check  BEV equivalence.
? Battery capacity vs discharge depth for 
(continuous) driving range ?</t>
        </r>
      </text>
    </comment>
    <comment ref="S108" authorId="7" shapeId="0" xr:uid="{FC761A3F-0C25-4631-B948-D6FF9C493D5C}">
      <text>
        <r>
          <rPr>
            <b/>
            <sz val="8"/>
            <color indexed="81"/>
            <rFont val="Tahoma"/>
            <family val="2"/>
          </rPr>
          <t>Bruno Merven:</t>
        </r>
        <r>
          <rPr>
            <sz val="8"/>
            <color indexed="81"/>
            <rFont val="Tahoma"/>
            <family val="2"/>
          </rPr>
          <t xml:space="preserve">
Adjusted manually to match SUV ratios</t>
        </r>
      </text>
    </comment>
    <comment ref="AH108" authorId="7" shapeId="0" xr:uid="{D86E8262-7419-435A-BCFC-998449B2CF22}">
      <text>
        <r>
          <rPr>
            <b/>
            <sz val="8"/>
            <color indexed="81"/>
            <rFont val="Tahoma"/>
            <family val="2"/>
          </rPr>
          <t>Bruno Merven:</t>
        </r>
        <r>
          <rPr>
            <sz val="8"/>
            <color indexed="81"/>
            <rFont val="Tahoma"/>
            <family val="2"/>
          </rPr>
          <t xml:space="preserve">
Adjusted Manually to Match SUVs</t>
        </r>
      </text>
    </comment>
    <comment ref="S113" authorId="3" shapeId="0" xr:uid="{3DF5CD55-4031-4179-A915-D030E9A98E47}">
      <text>
        <r>
          <rPr>
            <b/>
            <sz val="9"/>
            <color indexed="81"/>
            <rFont val="Tahoma"/>
            <family val="2"/>
          </rPr>
          <t xml:space="preserve">Fadiel: </t>
        </r>
        <r>
          <rPr>
            <sz val="9"/>
            <color indexed="81"/>
            <rFont val="Tahoma"/>
            <family val="2"/>
          </rPr>
          <t>~</t>
        </r>
        <r>
          <rPr>
            <b/>
            <sz val="9"/>
            <color indexed="81"/>
            <rFont val="Tahoma"/>
            <family val="2"/>
          </rPr>
          <t>16</t>
        </r>
        <r>
          <rPr>
            <sz val="9"/>
            <color indexed="81"/>
            <rFont val="Tahoma"/>
            <family val="2"/>
          </rPr>
          <t xml:space="preserve"> (? With payload ?)
Table1 CIRRELT-2014-43.pdf
I'm assuming an 85% charging system efficiency.
Adjusted by ~1.2 for "real world driving" based on data from:</t>
        </r>
        <r>
          <rPr>
            <i/>
            <sz val="9"/>
            <color indexed="81"/>
            <rFont val="Tahoma"/>
            <family val="2"/>
          </rPr>
          <t xml:space="preserve">Comparative measurements of the energy consumption of 51 electric, hybrid and internal  combustion engine vehicles </t>
        </r>
        <r>
          <rPr>
            <sz val="9"/>
            <color indexed="81"/>
            <rFont val="Tahoma"/>
            <family val="2"/>
          </rPr>
          <t xml:space="preserve">(2011) [14.5 kWh/100km rated] and </t>
        </r>
        <r>
          <rPr>
            <i/>
            <sz val="9"/>
            <color indexed="81"/>
            <rFont val="Tahoma"/>
            <family val="2"/>
          </rPr>
          <t>Electric vehicles: Literature review of  technology costs and carbon emissions</t>
        </r>
        <r>
          <rPr>
            <sz val="9"/>
            <color indexed="81"/>
            <rFont val="Tahoma"/>
            <family val="2"/>
          </rPr>
          <t>(2016) [17.2 kWh/100km]</t>
        </r>
      </text>
    </comment>
    <comment ref="S114" authorId="7" shapeId="0" xr:uid="{93349159-8406-4344-95E3-BB31FEE425E9}">
      <text>
        <r>
          <rPr>
            <b/>
            <sz val="8"/>
            <color indexed="81"/>
            <rFont val="Tahoma"/>
            <family val="2"/>
          </rPr>
          <t>Bruno Merven:</t>
        </r>
        <r>
          <rPr>
            <sz val="8"/>
            <color indexed="81"/>
            <rFont val="Tahoma"/>
            <family val="2"/>
          </rPr>
          <t xml:space="preserve">
based on US data</t>
        </r>
      </text>
    </comment>
    <comment ref="S118" authorId="6" shapeId="0" xr:uid="{AD7CBD31-7BC0-46EC-A59F-F9303B37E1A4}">
      <text>
        <r>
          <rPr>
            <b/>
            <sz val="9"/>
            <color indexed="81"/>
            <rFont val="Tahoma"/>
            <family val="2"/>
          </rPr>
          <t>Adrian Stone:</t>
        </r>
        <r>
          <rPr>
            <sz val="9"/>
            <color indexed="81"/>
            <rFont val="Tahoma"/>
            <family val="2"/>
          </rPr>
          <t xml:space="preserve">
No Data - assumed proportional to relative fuel economy of FCV pass cars</t>
        </r>
      </text>
    </comment>
    <comment ref="S121" authorId="7" shapeId="0" xr:uid="{81971E7E-7B1A-4BA5-BA60-920C4583DF78}">
      <text>
        <r>
          <rPr>
            <b/>
            <sz val="8"/>
            <color indexed="81"/>
            <rFont val="Tahoma"/>
            <family val="2"/>
          </rPr>
          <t>Bruno Merven:</t>
        </r>
        <r>
          <rPr>
            <sz val="8"/>
            <color indexed="81"/>
            <rFont val="Tahoma"/>
            <family val="2"/>
          </rPr>
          <t xml:space="preserve">
based on US data</t>
        </r>
      </text>
    </comment>
    <comment ref="S125" authorId="6" shapeId="0" xr:uid="{518553F0-5221-4E0A-B4F0-FDBBC5EB9561}">
      <text>
        <r>
          <rPr>
            <b/>
            <sz val="9"/>
            <color indexed="81"/>
            <rFont val="Tahoma"/>
            <family val="2"/>
          </rPr>
          <t>Adrian Stone:</t>
        </r>
        <r>
          <rPr>
            <sz val="9"/>
            <color indexed="81"/>
            <rFont val="Tahoma"/>
            <family val="2"/>
          </rPr>
          <t xml:space="preserve">
Half the SUV penalty of gasoline ICEV because FCV is less part  load sensitive. 2013 Hyundai IX35 SUV fuel economy is claimed better than Honda and MB sedans.</t>
        </r>
      </text>
    </comment>
    <comment ref="S126" authorId="6" shapeId="0" xr:uid="{ED54DD01-224D-40E4-8C75-93729BB67CBF}">
      <text>
        <r>
          <rPr>
            <b/>
            <sz val="9"/>
            <color indexed="81"/>
            <rFont val="Tahoma"/>
            <family val="2"/>
          </rPr>
          <t>Adrian Stone:</t>
        </r>
        <r>
          <rPr>
            <sz val="9"/>
            <color indexed="81"/>
            <rFont val="Tahoma"/>
            <family val="2"/>
          </rPr>
          <t xml:space="preserve">
Half the SUV penalty of gasoline ICEV because FCV is less part  load sensitive. 2013 Hyundai IX35 SUV fuel economy is claimed better than Honda and MB sedans.</t>
        </r>
      </text>
    </comment>
    <comment ref="S133" authorId="7" shapeId="0" xr:uid="{DB00C319-53CB-4A36-8900-6CF144E6E419}">
      <text>
        <r>
          <rPr>
            <b/>
            <sz val="8"/>
            <color indexed="81"/>
            <rFont val="Tahoma"/>
            <family val="2"/>
          </rPr>
          <t>Bruno Merven:</t>
        </r>
        <r>
          <rPr>
            <sz val="8"/>
            <color indexed="81"/>
            <rFont val="Tahoma"/>
            <family val="2"/>
          </rPr>
          <t xml:space="preserve">
scaled from Cars</t>
        </r>
      </text>
    </comment>
    <comment ref="S135" authorId="7" shapeId="0" xr:uid="{DD4A240F-1905-40EF-9B86-7BF00D175E5F}">
      <text>
        <r>
          <rPr>
            <b/>
            <sz val="8"/>
            <color indexed="81"/>
            <rFont val="Tahoma"/>
            <family val="2"/>
          </rPr>
          <t>Bruno Merven:</t>
        </r>
        <r>
          <rPr>
            <sz val="8"/>
            <color indexed="81"/>
            <rFont val="Tahoma"/>
            <family val="2"/>
          </rPr>
          <t xml:space="preserve">
scaled from Cars</t>
        </r>
      </text>
    </comment>
    <comment ref="U135" authorId="7" shapeId="0" xr:uid="{E19102CA-8A4A-4EE4-996B-B8A90810512A}">
      <text>
        <r>
          <rPr>
            <b/>
            <sz val="8"/>
            <color indexed="81"/>
            <rFont val="Tahoma"/>
            <family val="2"/>
          </rPr>
          <t>Bruno Merven:</t>
        </r>
        <r>
          <rPr>
            <sz val="8"/>
            <color indexed="81"/>
            <rFont val="Tahoma"/>
            <family val="2"/>
          </rPr>
          <t xml:space="preserve">
scaled from Cars</t>
        </r>
      </text>
    </comment>
    <comment ref="V135" authorId="7" shapeId="0" xr:uid="{D19FED1E-400D-4C35-9C7D-39091D76E5A5}">
      <text>
        <r>
          <rPr>
            <b/>
            <sz val="8"/>
            <color indexed="81"/>
            <rFont val="Tahoma"/>
            <family val="2"/>
          </rPr>
          <t>Bruno Merven:</t>
        </r>
        <r>
          <rPr>
            <sz val="8"/>
            <color indexed="81"/>
            <rFont val="Tahoma"/>
            <family val="2"/>
          </rPr>
          <t xml:space="preserve">
scaled from Cars</t>
        </r>
      </text>
    </comment>
    <comment ref="W135" authorId="7" shapeId="0" xr:uid="{3871015D-56F0-4E20-A3A1-7EE544B6FD08}">
      <text>
        <r>
          <rPr>
            <b/>
            <sz val="8"/>
            <color indexed="81"/>
            <rFont val="Tahoma"/>
            <family val="2"/>
          </rPr>
          <t>Bruno Merven:</t>
        </r>
        <r>
          <rPr>
            <sz val="8"/>
            <color indexed="81"/>
            <rFont val="Tahoma"/>
            <family val="2"/>
          </rPr>
          <t xml:space="preserve">
scaled from Cars</t>
        </r>
      </text>
    </comment>
    <comment ref="X135" authorId="7" shapeId="0" xr:uid="{4F2CC8D5-7EFC-4308-96D8-3ABF7CC705E3}">
      <text>
        <r>
          <rPr>
            <b/>
            <sz val="8"/>
            <color indexed="81"/>
            <rFont val="Tahoma"/>
            <family val="2"/>
          </rPr>
          <t>Bruno Merven:</t>
        </r>
        <r>
          <rPr>
            <sz val="8"/>
            <color indexed="81"/>
            <rFont val="Tahoma"/>
            <family val="2"/>
          </rPr>
          <t xml:space="preserve">
scaled from Cars</t>
        </r>
      </text>
    </comment>
    <comment ref="B137" authorId="3" shapeId="0" xr:uid="{2D575BD5-9D3A-4FF6-8F2F-B20E70CF19A7}">
      <text>
        <r>
          <rPr>
            <b/>
            <sz val="9"/>
            <color indexed="81"/>
            <rFont val="Tahoma"/>
            <family val="2"/>
          </rPr>
          <t>ESAP PC:</t>
        </r>
        <r>
          <rPr>
            <sz val="9"/>
            <color indexed="81"/>
            <rFont val="Tahoma"/>
            <family val="2"/>
          </rPr>
          <t xml:space="preserve">
Get data from Adrian (treasury study)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tc={B58A53B0-839B-44C0-82D7-008214954688}</author>
  </authors>
  <commentList>
    <comment ref="F5" authorId="0" shapeId="0" xr:uid="{B58A53B0-839B-44C0-82D7-008214954688}">
      <text>
        <t>[Threaded comment]
Your version of Excel allows you to read this threaded comment; however, any edits to it will get removed if the file is opened in a newer version of Excel. Learn more: https://go.microsoft.com/fwlink/?linkid=870924
Comment:
    Defined in SysSettings</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Fadiel Ahjum</author>
  </authors>
  <commentList>
    <comment ref="AV3" authorId="0" shapeId="0" xr:uid="{C2C251FA-9EE9-4F9E-AE95-97E82339C929}">
      <text>
        <r>
          <rPr>
            <b/>
            <sz val="9"/>
            <color indexed="81"/>
            <rFont val="Tahoma"/>
            <family val="2"/>
          </rPr>
          <t>Fadiel Ahjum:</t>
        </r>
        <r>
          <rPr>
            <sz val="9"/>
            <color indexed="81"/>
            <rFont val="Tahoma"/>
            <family val="2"/>
          </rPr>
          <t xml:space="preserve">
my assumption</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<sst xmlns="http://schemas.openxmlformats.org/spreadsheetml/2006/main" count="6434" uniqueCount="1345">
  <si>
    <t>~FI_Process</t>
  </si>
  <si>
    <t>TechName</t>
  </si>
  <si>
    <t>TechDesc</t>
  </si>
  <si>
    <t>Tact</t>
  </si>
  <si>
    <t>Tcap</t>
  </si>
  <si>
    <t>Tslvl</t>
  </si>
  <si>
    <t>Sets</t>
  </si>
  <si>
    <t>RSA  2017</t>
  </si>
  <si>
    <t>(TJ)</t>
  </si>
  <si>
    <t>Hard</t>
  </si>
  <si>
    <t>Brown</t>
  </si>
  <si>
    <t>Coking</t>
  </si>
  <si>
    <t>Bituminous</t>
  </si>
  <si>
    <t>Sub-</t>
  </si>
  <si>
    <t>Lignite</t>
  </si>
  <si>
    <t>Peat</t>
  </si>
  <si>
    <t>Patent</t>
  </si>
  <si>
    <t>Coke oven</t>
  </si>
  <si>
    <t>Gas Coke</t>
  </si>
  <si>
    <t xml:space="preserve">     BKB</t>
  </si>
  <si>
    <t>Gasworks</t>
  </si>
  <si>
    <t>Blast</t>
  </si>
  <si>
    <t>Oxygen</t>
  </si>
  <si>
    <t>Renewables</t>
  </si>
  <si>
    <t>SBIOMASS</t>
  </si>
  <si>
    <t>Industrial</t>
  </si>
  <si>
    <t>Muncipal</t>
  </si>
  <si>
    <t xml:space="preserve">   GLBIO</t>
  </si>
  <si>
    <t>Natural</t>
  </si>
  <si>
    <t>Crude + NGLs</t>
  </si>
  <si>
    <t>Crude Oil</t>
  </si>
  <si>
    <t>NGLs</t>
  </si>
  <si>
    <t>Refinery</t>
  </si>
  <si>
    <t>Additives</t>
  </si>
  <si>
    <t>Non-</t>
  </si>
  <si>
    <t>Ethane</t>
  </si>
  <si>
    <t xml:space="preserve">     LPG</t>
  </si>
  <si>
    <t>Motor</t>
  </si>
  <si>
    <t>Aviation</t>
  </si>
  <si>
    <t>Jet</t>
  </si>
  <si>
    <t>Other</t>
  </si>
  <si>
    <t>Gas Diesel</t>
  </si>
  <si>
    <t>Residual</t>
  </si>
  <si>
    <t>Naphtha</t>
  </si>
  <si>
    <t>White</t>
  </si>
  <si>
    <t>Lubricants</t>
  </si>
  <si>
    <t>Bitumen</t>
  </si>
  <si>
    <t>Parrafin</t>
  </si>
  <si>
    <t>Petroleum</t>
  </si>
  <si>
    <t>Non-specified</t>
  </si>
  <si>
    <t xml:space="preserve"> NONSPEC</t>
  </si>
  <si>
    <t>Nuclear</t>
  </si>
  <si>
    <t>Hydro</t>
  </si>
  <si>
    <t>Geothermal</t>
  </si>
  <si>
    <t>Solar</t>
  </si>
  <si>
    <t>Tide</t>
  </si>
  <si>
    <t>Wind</t>
  </si>
  <si>
    <t>Heatpumps</t>
  </si>
  <si>
    <t>Boilers</t>
  </si>
  <si>
    <t>Electricity</t>
  </si>
  <si>
    <t>Heat</t>
  </si>
  <si>
    <t>Coal</t>
  </si>
  <si>
    <t>Fuel</t>
  </si>
  <si>
    <t>coke</t>
  </si>
  <si>
    <t>Gas</t>
  </si>
  <si>
    <t>Furnace Gas</t>
  </si>
  <si>
    <t>&amp; Waste</t>
  </si>
  <si>
    <t>Waste</t>
  </si>
  <si>
    <t>+ Feedstocks</t>
  </si>
  <si>
    <t>Feedstocks</t>
  </si>
  <si>
    <t>Conventional</t>
  </si>
  <si>
    <t>Gasoline</t>
  </si>
  <si>
    <t>Kerosene</t>
  </si>
  <si>
    <t>Spirit</t>
  </si>
  <si>
    <t>Wax</t>
  </si>
  <si>
    <t>Coke</t>
  </si>
  <si>
    <t>oil products</t>
  </si>
  <si>
    <t>VERSION:</t>
  </si>
  <si>
    <t>Crude</t>
  </si>
  <si>
    <t xml:space="preserve"> Indigenous Production</t>
  </si>
  <si>
    <t xml:space="preserve"> From Other Sources</t>
  </si>
  <si>
    <t xml:space="preserve"> Import</t>
  </si>
  <si>
    <t xml:space="preserve"> Export</t>
  </si>
  <si>
    <t xml:space="preserve"> Intl. Marine Bunkers</t>
  </si>
  <si>
    <t xml:space="preserve"> Stock Changes</t>
  </si>
  <si>
    <t xml:space="preserve"> Domestic Supply</t>
  </si>
  <si>
    <t xml:space="preserve"> Transfers</t>
  </si>
  <si>
    <t xml:space="preserve"> </t>
  </si>
  <si>
    <t xml:space="preserve"> Statistical Differences</t>
  </si>
  <si>
    <t xml:space="preserve"> Transformation Sector</t>
  </si>
  <si>
    <t xml:space="preserve"> Public Electricity Plant</t>
  </si>
  <si>
    <t xml:space="preserve"> Autoproducer Electricity Plant</t>
  </si>
  <si>
    <t xml:space="preserve"> Public CHP Plant</t>
  </si>
  <si>
    <t xml:space="preserve"> Autoproducer CHP Plant</t>
  </si>
  <si>
    <t xml:space="preserve"> Public Heat Plant</t>
  </si>
  <si>
    <t xml:space="preserve"> Autoproducer Heat Plant</t>
  </si>
  <si>
    <t xml:space="preserve"> Heat pumps</t>
  </si>
  <si>
    <t xml:space="preserve"> Electric Boilers</t>
  </si>
  <si>
    <t xml:space="preserve"> Patent Fuel Plants</t>
  </si>
  <si>
    <t xml:space="preserve"> Coke Ovens</t>
  </si>
  <si>
    <t xml:space="preserve"> Gas Works</t>
  </si>
  <si>
    <t xml:space="preserve"> For Blast Furnace Gas</t>
  </si>
  <si>
    <t xml:space="preserve"> Petrochemical Industry</t>
  </si>
  <si>
    <t xml:space="preserve"> For BKB</t>
  </si>
  <si>
    <t xml:space="preserve"> Oil Refineries</t>
  </si>
  <si>
    <t xml:space="preserve"> Liquefaction</t>
  </si>
  <si>
    <t xml:space="preserve"> Non-specified (Transformation)</t>
  </si>
  <si>
    <t xml:space="preserve"> Energy Sector</t>
  </si>
  <si>
    <t xml:space="preserve"> Coal Mines</t>
  </si>
  <si>
    <t xml:space="preserve"> Oil and Gas Extraction</t>
  </si>
  <si>
    <t xml:space="preserve"> BKB</t>
  </si>
  <si>
    <t xml:space="preserve"> Ownuse in Elec., CHP and Heat plant</t>
  </si>
  <si>
    <t xml:space="preserve"> Used for Pump Storage</t>
  </si>
  <si>
    <t xml:space="preserve"> Nuclear Industry</t>
  </si>
  <si>
    <t xml:space="preserve"> Non-specified (Energy)</t>
  </si>
  <si>
    <t xml:space="preserve"> Distribution Losses</t>
  </si>
  <si>
    <t xml:space="preserve"> Final Consumption</t>
  </si>
  <si>
    <t xml:space="preserve"> Industry Sector</t>
  </si>
  <si>
    <t xml:space="preserve"> Iron and Steel</t>
  </si>
  <si>
    <t xml:space="preserve"> Chemical and Petrochemical</t>
  </si>
  <si>
    <t xml:space="preserve"> Non-Ferrous Metals</t>
  </si>
  <si>
    <t xml:space="preserve"> Non-Metallic Minerals</t>
  </si>
  <si>
    <t xml:space="preserve"> Transport Equipment</t>
  </si>
  <si>
    <t xml:space="preserve"> Machinery</t>
  </si>
  <si>
    <t xml:space="preserve"> Mining and Quarrying</t>
  </si>
  <si>
    <t xml:space="preserve"> Food and Tobacco</t>
  </si>
  <si>
    <t xml:space="preserve"> Paper Pulp and Print</t>
  </si>
  <si>
    <t xml:space="preserve"> Wood and Wood Products</t>
  </si>
  <si>
    <t xml:space="preserve"> Construction</t>
  </si>
  <si>
    <t xml:space="preserve"> Textile and Leather</t>
  </si>
  <si>
    <t xml:space="preserve"> Non-specified (Industry)</t>
  </si>
  <si>
    <t xml:space="preserve"> Transport Sector</t>
  </si>
  <si>
    <t xml:space="preserve"> International Civil Aviation</t>
  </si>
  <si>
    <t xml:space="preserve"> Domestic Air Transport</t>
  </si>
  <si>
    <t xml:space="preserve"> Road</t>
  </si>
  <si>
    <t>Passenger</t>
  </si>
  <si>
    <t>LCV</t>
  </si>
  <si>
    <t>Car</t>
  </si>
  <si>
    <t>MBT</t>
  </si>
  <si>
    <t>Bus</t>
  </si>
  <si>
    <t>BRT</t>
  </si>
  <si>
    <t>Freight</t>
  </si>
  <si>
    <t>Corridor (HCV)</t>
  </si>
  <si>
    <t>Urban/Rural (MCV)</t>
  </si>
  <si>
    <t xml:space="preserve"> Rail</t>
  </si>
  <si>
    <t>inter-city</t>
  </si>
  <si>
    <t>metro</t>
  </si>
  <si>
    <t xml:space="preserve"> Pipeline Transport</t>
  </si>
  <si>
    <t xml:space="preserve"> Internal Navigation</t>
  </si>
  <si>
    <t xml:space="preserve"> Non-specified (Transport)</t>
  </si>
  <si>
    <t xml:space="preserve"> Other Sectors</t>
  </si>
  <si>
    <t xml:space="preserve"> Agriculture</t>
  </si>
  <si>
    <t xml:space="preserve"> Commerce and Public Services</t>
  </si>
  <si>
    <t xml:space="preserve"> Residential</t>
  </si>
  <si>
    <t xml:space="preserve"> Non-specified (Other)</t>
  </si>
  <si>
    <t xml:space="preserve"> Non-Energy Use</t>
  </si>
  <si>
    <t xml:space="preserve"> Memo:Non-Energy Use Ind/Transf/Ener</t>
  </si>
  <si>
    <t xml:space="preserve"> Memo:Non-Energy Use in Transport</t>
  </si>
  <si>
    <t xml:space="preserve"> Memo:Non-Energy Use in Oth.Sect.</t>
  </si>
  <si>
    <t xml:space="preserve"> Memo:Feedst.Use in Petchem. Ind.</t>
  </si>
  <si>
    <t xml:space="preserve"> Elect.Output in GWh</t>
  </si>
  <si>
    <t xml:space="preserve"> Elect.Output-public elec. plant</t>
  </si>
  <si>
    <t xml:space="preserve"> Elect.Output-autoprod. elec. plant</t>
  </si>
  <si>
    <t xml:space="preserve"> Elect.Output-public CHP plant</t>
  </si>
  <si>
    <t xml:space="preserve"> Elect.Output-autoprod. CHP plant</t>
  </si>
  <si>
    <t xml:space="preserve"> Heat Output-public CHP plant</t>
  </si>
  <si>
    <t xml:space="preserve"> Heat Output-autoproducer CHP plant</t>
  </si>
  <si>
    <t xml:space="preserve"> Heat Output-public heat plant</t>
  </si>
  <si>
    <t xml:space="preserve"> Heat Output-autoprod. heat plant</t>
  </si>
  <si>
    <t xml:space="preserve"> Heat Output in TJ</t>
  </si>
  <si>
    <t xml:space="preserve"> Pumped Hydro Production</t>
  </si>
  <si>
    <t xml:space="preserve"> Memo: Gas vented</t>
  </si>
  <si>
    <t xml:space="preserve"> Memo: Gas flared</t>
  </si>
  <si>
    <t xml:space="preserve"> Memo: Energy use for Gold Mining</t>
  </si>
  <si>
    <t xml:space="preserve"> Memo: Energy use for Other Mining</t>
  </si>
  <si>
    <t>GWh</t>
  </si>
  <si>
    <t>MJ</t>
  </si>
  <si>
    <t>TJ</t>
  </si>
  <si>
    <t>PJ</t>
  </si>
  <si>
    <t>Transnet AR</t>
  </si>
  <si>
    <t>2011/12</t>
  </si>
  <si>
    <t>2017</t>
  </si>
  <si>
    <t>elec (MWh)</t>
  </si>
  <si>
    <t>elec (TJ)</t>
  </si>
  <si>
    <t>MJ/L (LHV)</t>
  </si>
  <si>
    <t>diesel (l)</t>
  </si>
  <si>
    <t>diesel (TJ)</t>
  </si>
  <si>
    <t>elec%</t>
  </si>
  <si>
    <t>pipelines</t>
  </si>
  <si>
    <t>rail</t>
  </si>
  <si>
    <t>diesel%</t>
  </si>
  <si>
    <t>elec TJ</t>
  </si>
  <si>
    <t>diesel TJ</t>
  </si>
  <si>
    <t>% pipeline</t>
  </si>
  <si>
    <t>% rail-elc</t>
  </si>
  <si>
    <t>% rail-diesel</t>
  </si>
  <si>
    <t>ktCO2</t>
  </si>
  <si>
    <t>http://www.eskom.co.za/OurCompany/SustainableDevelopment/Pages/CDM_Calculations.aspx</t>
  </si>
  <si>
    <t>Diesel oil: kg CO2/TJ</t>
  </si>
  <si>
    <t>Data from Analytica Transport Model</t>
  </si>
  <si>
    <t>Vehicle Parc Calibration_v9.0.3-tchtra</t>
  </si>
  <si>
    <t>Existing Fleet Data</t>
  </si>
  <si>
    <t>CapUnit</t>
  </si>
  <si>
    <t>AFA</t>
  </si>
  <si>
    <t>EFF</t>
  </si>
  <si>
    <t>RESID</t>
  </si>
  <si>
    <t>Final Energy</t>
  </si>
  <si>
    <t>TSHARE</t>
  </si>
  <si>
    <t>analytica</t>
  </si>
  <si>
    <t>TIMES model name</t>
  </si>
  <si>
    <t>TIMES Fuel</t>
  </si>
  <si>
    <t>TIMES Demand</t>
  </si>
  <si>
    <t>Analytica Model Name</t>
  </si>
  <si>
    <t>Mileage Start</t>
  </si>
  <si>
    <t>Mileage (Existing Fleet)</t>
  </si>
  <si>
    <t>Availability</t>
  </si>
  <si>
    <t>Economy</t>
  </si>
  <si>
    <t>Fuel Efficiency (Existing Fleet)</t>
  </si>
  <si>
    <t>Stock (Existing Fleet)</t>
  </si>
  <si>
    <t>Fuel Consumption PJ</t>
  </si>
  <si>
    <t>Baseyear sales</t>
  </si>
  <si>
    <t>Baseyear sales calibration</t>
  </si>
  <si>
    <t>mileage start</t>
  </si>
  <si>
    <t>m.km/yr</t>
  </si>
  <si>
    <t>km/yr</t>
  </si>
  <si>
    <t>%</t>
  </si>
  <si>
    <t>l/100km</t>
  </si>
  <si>
    <t>km/MJ</t>
  </si>
  <si>
    <t>000 Vehicles</t>
  </si>
  <si>
    <t>Analytica</t>
  </si>
  <si>
    <t>NAAMSA Aggregated National</t>
  </si>
  <si>
    <t>Analytica "SALES"</t>
  </si>
  <si>
    <t>CapAct</t>
  </si>
  <si>
    <t>retrofit</t>
  </si>
  <si>
    <t>ODS</t>
  </si>
  <si>
    <t>TPPUBUS</t>
  </si>
  <si>
    <t>BusDiesel</t>
  </si>
  <si>
    <t>Diesel</t>
  </si>
  <si>
    <t>TPPRCAR</t>
  </si>
  <si>
    <t>CarDiesel</t>
  </si>
  <si>
    <t>PAS</t>
  </si>
  <si>
    <t>OGS</t>
  </si>
  <si>
    <t>CarGasoline</t>
  </si>
  <si>
    <t>Petrol</t>
  </si>
  <si>
    <t>CarHybridDiesel</t>
  </si>
  <si>
    <t>HybridDiesel</t>
  </si>
  <si>
    <t>CarHybridGasoline</t>
  </si>
  <si>
    <t>HybridPetrol</t>
  </si>
  <si>
    <t>Market</t>
  </si>
  <si>
    <t>Fuel Type</t>
  </si>
  <si>
    <t>ELC</t>
  </si>
  <si>
    <t>CarElectric</t>
  </si>
  <si>
    <t>Electric</t>
  </si>
  <si>
    <t>TFHCV1</t>
  </si>
  <si>
    <t>HCV1Diesel</t>
  </si>
  <si>
    <t>MCV</t>
  </si>
  <si>
    <t>HCV</t>
  </si>
  <si>
    <t>HCV1Petrol</t>
  </si>
  <si>
    <t>XHV</t>
  </si>
  <si>
    <t>TFHCV2</t>
  </si>
  <si>
    <t>HCV2Diesel</t>
  </si>
  <si>
    <t>TFHCV3</t>
  </si>
  <si>
    <t>HCV3Diesel</t>
  </si>
  <si>
    <t>TFHCV4</t>
  </si>
  <si>
    <t>HCV4Diesel</t>
  </si>
  <si>
    <t>TFHCV5</t>
  </si>
  <si>
    <t>HCV5Diesel</t>
  </si>
  <si>
    <t>TFHCV6</t>
  </si>
  <si>
    <t>HCV6Diesel</t>
  </si>
  <si>
    <t>LCV/MBT</t>
  </si>
  <si>
    <t>TFHCV7</t>
  </si>
  <si>
    <t>HCV7Diesel</t>
  </si>
  <si>
    <t>TFHCV8</t>
  </si>
  <si>
    <t>HCV8Diesel</t>
  </si>
  <si>
    <t>TFHCV9</t>
  </si>
  <si>
    <t>HCV9Diesel</t>
  </si>
  <si>
    <t>TFLCV</t>
  </si>
  <si>
    <t>LCVDiesel</t>
  </si>
  <si>
    <t>LCVGasoline</t>
  </si>
  <si>
    <t>TPPUMBT</t>
  </si>
  <si>
    <t>MBTDiesel</t>
  </si>
  <si>
    <t>MBTGasoline</t>
  </si>
  <si>
    <t>SUV</t>
  </si>
  <si>
    <t>TPPRSUV</t>
  </si>
  <si>
    <t>SUVDiesel</t>
  </si>
  <si>
    <t>SUVHybridGasoline</t>
  </si>
  <si>
    <t>SUVGasoline</t>
  </si>
  <si>
    <t>SUVElectric</t>
  </si>
  <si>
    <t>TPPRMOTOGS-E</t>
  </si>
  <si>
    <t>TPPRMOT</t>
  </si>
  <si>
    <t>MotoGasoline</t>
  </si>
  <si>
    <t>TPPUMERELC-E</t>
  </si>
  <si>
    <t>Metrorail</t>
  </si>
  <si>
    <t>TPPRSUVOGS-R</t>
  </si>
  <si>
    <t>GAS</t>
  </si>
  <si>
    <t>SUVGAS</t>
  </si>
  <si>
    <t>TPPRCAROGS-R</t>
  </si>
  <si>
    <t>CARGAS</t>
  </si>
  <si>
    <t>TPPUMBTOGS-R</t>
  </si>
  <si>
    <t>MBTGAS</t>
  </si>
  <si>
    <t>TPPUBUSODS-R</t>
  </si>
  <si>
    <t>BUSGAS</t>
  </si>
  <si>
    <t>TFLCVOGS-R</t>
  </si>
  <si>
    <t>LCVGAS</t>
  </si>
  <si>
    <t>TFHCV1OGS-R</t>
  </si>
  <si>
    <t>HCVGAS</t>
  </si>
  <si>
    <t>P</t>
  </si>
  <si>
    <t>F</t>
  </si>
  <si>
    <t>CAPEX</t>
  </si>
  <si>
    <t>FOM</t>
  </si>
  <si>
    <t>Reference Freight</t>
  </si>
  <si>
    <t>Reference Passenger</t>
  </si>
  <si>
    <t>Gasoline/Diesel  HCV1 Economy ratio:</t>
  </si>
  <si>
    <t>New Vehicles Data</t>
  </si>
  <si>
    <t>Annual Improvement</t>
  </si>
  <si>
    <t>Scenario</t>
  </si>
  <si>
    <t>Diesel/Gasoline Car Economy ratio:</t>
  </si>
  <si>
    <t>CNG/Diesel Commercial Vehicle Fuel Economy Ratio:</t>
  </si>
  <si>
    <t>Maintenance Cost</t>
  </si>
  <si>
    <t>EV</t>
  </si>
  <si>
    <t>Efficiency</t>
  </si>
  <si>
    <t>Hybrid/Elc?</t>
  </si>
  <si>
    <t>Investment Cost</t>
  </si>
  <si>
    <t>Learning on Hybrid/elc</t>
  </si>
  <si>
    <t>CNG cost ratio</t>
  </si>
  <si>
    <t>mR/'000 veh</t>
  </si>
  <si>
    <t>ICE</t>
  </si>
  <si>
    <t>Base-year sales shares</t>
  </si>
  <si>
    <t>Diffference</t>
  </si>
  <si>
    <t>LTMS</t>
  </si>
  <si>
    <t>NAAMSA</t>
  </si>
  <si>
    <t>BusCNG</t>
  </si>
  <si>
    <t>REPLACED BY COSTPROJECTIONS TAB</t>
  </si>
  <si>
    <t>CNG</t>
  </si>
  <si>
    <t>HGN</t>
  </si>
  <si>
    <t>BusFCV</t>
  </si>
  <si>
    <t>BUS</t>
  </si>
  <si>
    <t>BGS</t>
  </si>
  <si>
    <t>BusGasolineFFV</t>
  </si>
  <si>
    <t>BusElectric</t>
  </si>
  <si>
    <t>ODSH</t>
  </si>
  <si>
    <t>CARHybridDiesel</t>
  </si>
  <si>
    <t>OGSH</t>
  </si>
  <si>
    <t>CARHybridGasoline</t>
  </si>
  <si>
    <t>CarGasolineFFV</t>
  </si>
  <si>
    <t>GasolineFFV</t>
  </si>
  <si>
    <t>CarCNG</t>
  </si>
  <si>
    <t>CAR</t>
  </si>
  <si>
    <t>CarHydrogen</t>
  </si>
  <si>
    <t>HCV1CNG</t>
  </si>
  <si>
    <t>HCV2CNG</t>
  </si>
  <si>
    <t>HCV3CNG</t>
  </si>
  <si>
    <t>HCV4CNG</t>
  </si>
  <si>
    <t>HCV5CNG</t>
  </si>
  <si>
    <t>HCV6CNG</t>
  </si>
  <si>
    <t>HCV7CNG</t>
  </si>
  <si>
    <t>HCV8CNG</t>
  </si>
  <si>
    <t>HCV9CNG</t>
  </si>
  <si>
    <t>HCV1Electric</t>
  </si>
  <si>
    <t>?</t>
  </si>
  <si>
    <t>HCV2Electric</t>
  </si>
  <si>
    <t>HCV3Electric</t>
  </si>
  <si>
    <t>HCV4Electric</t>
  </si>
  <si>
    <t>HCV5Electric</t>
  </si>
  <si>
    <t>HCV6Electric</t>
  </si>
  <si>
    <t>HCV7Electric</t>
  </si>
  <si>
    <t>HCV8Electric</t>
  </si>
  <si>
    <t>HCV9Electric</t>
  </si>
  <si>
    <t>HCV2Hydrogen</t>
  </si>
  <si>
    <t>Fuel Cell</t>
  </si>
  <si>
    <t>HCV3Hydrogen</t>
  </si>
  <si>
    <t>HCV4Hydrogen</t>
  </si>
  <si>
    <t>HCV5Hydrogen</t>
  </si>
  <si>
    <t>HCV6Hydrogen</t>
  </si>
  <si>
    <t>HCV7Hydrogen</t>
  </si>
  <si>
    <t>HCV8Hydrogen</t>
  </si>
  <si>
    <t>HCV9Hydrogen</t>
  </si>
  <si>
    <t>LCVHybridDiesel</t>
  </si>
  <si>
    <t>LCVHybridGasoline</t>
  </si>
  <si>
    <t>LCVCNG</t>
  </si>
  <si>
    <t>LCVElectric</t>
  </si>
  <si>
    <t>MBTHybridDiesel</t>
  </si>
  <si>
    <t>MBTCNG</t>
  </si>
  <si>
    <t>MBTHydrogen</t>
  </si>
  <si>
    <t>Minibus</t>
  </si>
  <si>
    <t>MBTOil Blended Gasoline-Ethanol-E85</t>
  </si>
  <si>
    <t>MBTElectric</t>
  </si>
  <si>
    <t>SUVHybridDiesel</t>
  </si>
  <si>
    <t>SUVGas</t>
  </si>
  <si>
    <t>BRT same as BUS</t>
  </si>
  <si>
    <t>SUVHydrogen</t>
  </si>
  <si>
    <t>SUVOil Blended Gasoline-Ethanol-E85</t>
  </si>
  <si>
    <t>TPPRMOTOGS-N</t>
  </si>
  <si>
    <t>MOTElectric</t>
  </si>
  <si>
    <t>TPPUBRTODS-N</t>
  </si>
  <si>
    <t>BRTDiesel</t>
  </si>
  <si>
    <t>TPPUBRT</t>
  </si>
  <si>
    <t>BRTGas</t>
  </si>
  <si>
    <t>BRTElectric</t>
  </si>
  <si>
    <t>BRTGasolineFFV</t>
  </si>
  <si>
    <t>BRTHydrogen</t>
  </si>
  <si>
    <t>TPPUMERELC-N</t>
  </si>
  <si>
    <t>TPPUGATELC-N</t>
  </si>
  <si>
    <t>Oil Av Gasoline</t>
  </si>
  <si>
    <t>Oil Diesel</t>
  </si>
  <si>
    <t>Oil Gasoline</t>
  </si>
  <si>
    <t>Oil HFO</t>
  </si>
  <si>
    <t>Oil Jet Fuel</t>
  </si>
  <si>
    <t>Oil LPG</t>
  </si>
  <si>
    <t>Hydrogen</t>
  </si>
  <si>
    <t>Oil Blended Gasoline-Ethanol-E85</t>
  </si>
  <si>
    <t>TRAODS</t>
  </si>
  <si>
    <t>TRAELC</t>
  </si>
  <si>
    <t>TRAOGS</t>
  </si>
  <si>
    <t>Units: PJ</t>
  </si>
  <si>
    <t>Fuel-ID</t>
  </si>
  <si>
    <t>Transport Tech</t>
  </si>
  <si>
    <t>Tech-ID</t>
  </si>
  <si>
    <t>Transport Passenger SUV Priv.Veh.</t>
  </si>
  <si>
    <t>Transport Passenger Car Priv.Veh.</t>
  </si>
  <si>
    <t>Transport Passenger Moto Priv.Veh.</t>
  </si>
  <si>
    <t>Transport Passenger Bus</t>
  </si>
  <si>
    <t>Transport Passenger Minibus</t>
  </si>
  <si>
    <t>Transport Passenger BRT</t>
  </si>
  <si>
    <t>Transport Passenger Metro Rail</t>
  </si>
  <si>
    <t>Transport Passenger Gautrain</t>
  </si>
  <si>
    <t>TPPUMER</t>
  </si>
  <si>
    <t>TPPUGAT</t>
  </si>
  <si>
    <t>Passenger Transport</t>
  </si>
  <si>
    <t>Freight Transport</t>
  </si>
  <si>
    <t>Transport Freight - LCV</t>
  </si>
  <si>
    <t>Transport Freight - HCV1</t>
  </si>
  <si>
    <t>Transport Freight - HCV2</t>
  </si>
  <si>
    <t>Transport Freight - HCV3</t>
  </si>
  <si>
    <t>Transport Freight - HCV4</t>
  </si>
  <si>
    <t>Transport Freight - HCV5</t>
  </si>
  <si>
    <t>Transport Freight - HCV6</t>
  </si>
  <si>
    <t>Transport Freight - HCV7</t>
  </si>
  <si>
    <t>Transport Freight - HCV8</t>
  </si>
  <si>
    <t>Transport Freight - HCV9</t>
  </si>
  <si>
    <t>Transport Freight - Rail Corridor</t>
  </si>
  <si>
    <t>TFRCO</t>
  </si>
  <si>
    <t>Transport Freight - Rail Other</t>
  </si>
  <si>
    <t>TFROT</t>
  </si>
  <si>
    <t>Transport Freight - Rail Export (bulk mining)</t>
  </si>
  <si>
    <t>TFREX</t>
  </si>
  <si>
    <t>Other Transport</t>
  </si>
  <si>
    <t>Transport Other - Pipeline</t>
  </si>
  <si>
    <t>TFPIP</t>
  </si>
  <si>
    <t xml:space="preserve">Transport Other -  Aviation Int Jet Fuel </t>
  </si>
  <si>
    <t>TAIJET</t>
  </si>
  <si>
    <t xml:space="preserve">Transport Other -  Aviation Dom Jet Fuel </t>
  </si>
  <si>
    <t>TADJET</t>
  </si>
  <si>
    <t>Transport Other - Aviation Gasoline</t>
  </si>
  <si>
    <t>TAOAG</t>
  </si>
  <si>
    <t>Transport Other - HFO</t>
  </si>
  <si>
    <t>TSHFO</t>
  </si>
  <si>
    <t>BUSODS</t>
  </si>
  <si>
    <t>CARODS</t>
  </si>
  <si>
    <t>CAROGS</t>
  </si>
  <si>
    <t>CARELC</t>
  </si>
  <si>
    <t>MBTODS</t>
  </si>
  <si>
    <t>MBTOGS</t>
  </si>
  <si>
    <t>SUVODS</t>
  </si>
  <si>
    <t>SUVOGS</t>
  </si>
  <si>
    <t>SUVELC</t>
  </si>
  <si>
    <t>MOTOGS</t>
  </si>
  <si>
    <t>MERELC</t>
  </si>
  <si>
    <t>TPPUBUSODS-E</t>
  </si>
  <si>
    <t>TPPRCARODS-E</t>
  </si>
  <si>
    <t>TPPRCAROGS-E</t>
  </si>
  <si>
    <t>TPPRCARODSH-E</t>
  </si>
  <si>
    <t>TPPRCAROGSH-E</t>
  </si>
  <si>
    <t>TPPRCARELC-E</t>
  </si>
  <si>
    <t>TFHCV1ODS-E</t>
  </si>
  <si>
    <t>TFHCV1OGS-E</t>
  </si>
  <si>
    <t>TFHCV2ODS-E</t>
  </si>
  <si>
    <t>TFHCV3ODS-E</t>
  </si>
  <si>
    <t>TFHCV4ODS-E</t>
  </si>
  <si>
    <t>TFHCV5ODS-E</t>
  </si>
  <si>
    <t>TFHCV6ODS-E</t>
  </si>
  <si>
    <t>TFHCV7ODS-E</t>
  </si>
  <si>
    <t>TFHCV8ODS-E</t>
  </si>
  <si>
    <t>TFHCV9ODS-E</t>
  </si>
  <si>
    <t>TFLCVODS-E</t>
  </si>
  <si>
    <t>TFLCVOGS-E</t>
  </si>
  <si>
    <t>TPPUMBTODS-E</t>
  </si>
  <si>
    <t>TPPUMBTOGS-E</t>
  </si>
  <si>
    <t>TPPRSUVODS-E</t>
  </si>
  <si>
    <t>TPPRSUVOGSH-E</t>
  </si>
  <si>
    <t>TPPRSUVOGS-E</t>
  </si>
  <si>
    <t>TPPRSUVELC-E</t>
  </si>
  <si>
    <t>Analytica Vehicle Parc - see Merven et al 2018</t>
  </si>
  <si>
    <t>https://ebe.uct.ac.za/sites/default/files/content_migration/ebe_uct_ac_za/1135/files/2018_2774-Article%2520Text-24631-1-10-20180618_JESA_Calibration%2520Paper_2018_bm2.pdf</t>
  </si>
  <si>
    <t>Base year</t>
  </si>
  <si>
    <t>Analytica Tech Name</t>
  </si>
  <si>
    <t>Analytica TechDesc</t>
  </si>
  <si>
    <t>Data Type</t>
  </si>
  <si>
    <t>Year</t>
  </si>
  <si>
    <t>Unit</t>
  </si>
  <si>
    <t>Value</t>
  </si>
  <si>
    <t>Source</t>
  </si>
  <si>
    <t>Link</t>
  </si>
  <si>
    <t>*</t>
  </si>
  <si>
    <t/>
  </si>
  <si>
    <t>ANNUAL</t>
  </si>
  <si>
    <t>DMD</t>
  </si>
  <si>
    <t>bPkm</t>
  </si>
  <si>
    <t>bPkma</t>
  </si>
  <si>
    <t>Transport Passenger SUV Priv.Veh. Oil Diesel-Existing</t>
  </si>
  <si>
    <t>Transport Passenger SUV Priv.Veh. Oil Gasoline-Existing</t>
  </si>
  <si>
    <t>Transport Passenger SUV Priv.Veh. Oil GasolineHybrid-Existing</t>
  </si>
  <si>
    <t>Transport Passenger SUV Priv.Veh. Electricity-Existing</t>
  </si>
  <si>
    <t>Transport Passenger Car Priv.Veh. Oil Diesel-Existing</t>
  </si>
  <si>
    <t>Transport Passenger Car Priv.Veh. Oil Gasoline-Existing</t>
  </si>
  <si>
    <t>Transport Passenger Car Priv.Veh. Oil GasolineHybrid-Existing</t>
  </si>
  <si>
    <t>Transport Passenger Moto Priv.Veh. Oil Gasoline-Existing</t>
  </si>
  <si>
    <t>Transport Passenger Bus Oil Diesel-Existing</t>
  </si>
  <si>
    <t>Transport Passenger Minibus Oil Diesel-Existing</t>
  </si>
  <si>
    <t>Transport Passenger Minibus Oil Gasoline-Existing</t>
  </si>
  <si>
    <t>Transport Passenger Metro Rail Electricity-Existing</t>
  </si>
  <si>
    <t>Private SUVS</t>
  </si>
  <si>
    <t>Private Cars</t>
  </si>
  <si>
    <t>Private Motorcycles</t>
  </si>
  <si>
    <t>Public Buses</t>
  </si>
  <si>
    <t>Public Minibus Taxis</t>
  </si>
  <si>
    <t>Public Metrorail</t>
  </si>
  <si>
    <t>Comm-IN</t>
  </si>
  <si>
    <t>Comm-Out</t>
  </si>
  <si>
    <t>EFF~2017</t>
  </si>
  <si>
    <t>EFF~2020</t>
  </si>
  <si>
    <t>EFF~2030</t>
  </si>
  <si>
    <t>EFF~2040</t>
  </si>
  <si>
    <t>EFF~2050</t>
  </si>
  <si>
    <t>NCAP_AF~2017</t>
  </si>
  <si>
    <t>NCAP_AF~2020</t>
  </si>
  <si>
    <t>NCAP_AF~2030</t>
  </si>
  <si>
    <t>NCAP_AF~2040</t>
  </si>
  <si>
    <t>NCAP_AF~2050</t>
  </si>
  <si>
    <t>STOCK~2017</t>
  </si>
  <si>
    <t>STOCK~2020</t>
  </si>
  <si>
    <t>STOCK~2030</t>
  </si>
  <si>
    <t>STOCK~2040</t>
  </si>
  <si>
    <t>STOCK~2050</t>
  </si>
  <si>
    <t>NCAP_BND~0</t>
  </si>
  <si>
    <t>NCAP_BND~2017</t>
  </si>
  <si>
    <t>~FI_T</t>
  </si>
  <si>
    <t>* Year</t>
  </si>
  <si>
    <t>TechDescription</t>
  </si>
  <si>
    <t>Mileage [km/yr]</t>
  </si>
  <si>
    <t>million km/yr</t>
  </si>
  <si>
    <t>Raw Analytica Data</t>
  </si>
  <si>
    <t>Adjusted</t>
  </si>
  <si>
    <t>000 vehicles</t>
  </si>
  <si>
    <t>000 vehs</t>
  </si>
  <si>
    <t>Transport Passenger Car Priv.Veh. Electricity-Existing</t>
  </si>
  <si>
    <t>Transport Passenger SUV Priv.Veh. Oil DieselHybrid-Existing</t>
  </si>
  <si>
    <t>TPPRSUVODSH-E</t>
  </si>
  <si>
    <t>TPPRSUVGAS-E</t>
  </si>
  <si>
    <t>Transport Passenger SUV Priv.Veh. Gas-Existing</t>
  </si>
  <si>
    <t>TPPRCARGAS-E</t>
  </si>
  <si>
    <t>Transport Passenger Car Priv.Veh. Oil DieselHybrid-Existing</t>
  </si>
  <si>
    <t>Transport Passenger Car Priv.Veh. Gas-Existing</t>
  </si>
  <si>
    <t>TRAGAS</t>
  </si>
  <si>
    <t>CV1GAS</t>
  </si>
  <si>
    <t>TPPUBUSGAS-E</t>
  </si>
  <si>
    <t>Transport Passenger Bus Gas-Existing</t>
  </si>
  <si>
    <t>TPPUMBTGAS-E</t>
  </si>
  <si>
    <t>Transport Passenger Minibus Gas-Existing</t>
  </si>
  <si>
    <t>Checks</t>
  </si>
  <si>
    <t>Unit: km/MJ</t>
  </si>
  <si>
    <t>TFLCVGAS-E</t>
  </si>
  <si>
    <t>TFHCV1GAS-E</t>
  </si>
  <si>
    <t>References</t>
  </si>
  <si>
    <t>SAPIA/NAAMSA</t>
  </si>
  <si>
    <t>Petrol calorific</t>
  </si>
  <si>
    <t>MJ/l</t>
  </si>
  <si>
    <t>Ratio of Diesel to Gasoline fuel economy</t>
  </si>
  <si>
    <t>weighted avg km</t>
  </si>
  <si>
    <t>Diesel calorific</t>
  </si>
  <si>
    <t>Ratio of SUV to Car mileage</t>
  </si>
  <si>
    <t>Eff petrol cars</t>
  </si>
  <si>
    <t>2006 Energy Balance for Transport</t>
  </si>
  <si>
    <t>Trucks</t>
  </si>
  <si>
    <t>Useful Energy</t>
  </si>
  <si>
    <t>Annual Mileage</t>
  </si>
  <si>
    <t>Fuel Economy</t>
  </si>
  <si>
    <t>Vehicle Parc</t>
  </si>
  <si>
    <t>Total parc mileage</t>
  </si>
  <si>
    <t>Total Consumption</t>
  </si>
  <si>
    <t>Corrected l/1000tkm</t>
  </si>
  <si>
    <t>Corrected MJ/tkm</t>
  </si>
  <si>
    <t>Adjusted load factors</t>
  </si>
  <si>
    <t>Adjusted average load</t>
  </si>
  <si>
    <t>tons</t>
  </si>
  <si>
    <t>avg tons</t>
  </si>
  <si>
    <t>ton-km</t>
  </si>
  <si>
    <t>Intensity</t>
  </si>
  <si>
    <t>btonkm</t>
  </si>
  <si>
    <t>MJ/km</t>
  </si>
  <si>
    <t>billion veh-km</t>
  </si>
  <si>
    <t>MJ/pkm</t>
  </si>
  <si>
    <t>billion</t>
  </si>
  <si>
    <t>btonkm/PJ</t>
  </si>
  <si>
    <t xml:space="preserve"> Road EB</t>
  </si>
  <si>
    <t>Sum Check</t>
  </si>
  <si>
    <t>Error</t>
  </si>
  <si>
    <t>SUV Hyrbid</t>
  </si>
  <si>
    <t>Car Hybrid</t>
  </si>
  <si>
    <t>Moto</t>
  </si>
  <si>
    <t>scaling factor</t>
  </si>
  <si>
    <t>original sum</t>
  </si>
  <si>
    <t>SOL-road</t>
  </si>
  <si>
    <t>Corridor (HCV2)</t>
  </si>
  <si>
    <t>Corridor (HCV3)</t>
  </si>
  <si>
    <t>Corridor (HCV4)</t>
  </si>
  <si>
    <t>Corridor (HCV5)</t>
  </si>
  <si>
    <t>Corridor (HCV6)</t>
  </si>
  <si>
    <t>Corridor (HCV7)</t>
  </si>
  <si>
    <t>Corridor (HCV8)</t>
  </si>
  <si>
    <t>Corridor (HCV9)</t>
  </si>
  <si>
    <t>Urban/Rural (HCV1)</t>
  </si>
  <si>
    <t>Urban/Rural (LCV)</t>
  </si>
  <si>
    <t>LCVdiesel</t>
  </si>
  <si>
    <t xml:space="preserve"> Rail EB</t>
  </si>
  <si>
    <t>HCV1Gasoline</t>
  </si>
  <si>
    <t>SOL-rail</t>
  </si>
  <si>
    <t>Corridor</t>
  </si>
  <si>
    <t>Other (Urban/Rural)</t>
  </si>
  <si>
    <t>Export - coal/iron ore line</t>
  </si>
  <si>
    <t>Total Vehicle Parc</t>
  </si>
  <si>
    <t>ENaTis</t>
  </si>
  <si>
    <t>SOL-total</t>
  </si>
  <si>
    <t>million pkm by rail 2008: WB</t>
  </si>
  <si>
    <t>Public</t>
  </si>
  <si>
    <t>Total Veh</t>
  </si>
  <si>
    <t>Total veh-km</t>
  </si>
  <si>
    <t>km per veh</t>
  </si>
  <si>
    <t>Seat km</t>
  </si>
  <si>
    <t>Occupancy</t>
  </si>
  <si>
    <t>Total pkm</t>
  </si>
  <si>
    <t>Share</t>
  </si>
  <si>
    <t>Check</t>
  </si>
  <si>
    <t>Natmap Modeling report 2009 tble 6.5</t>
  </si>
  <si>
    <t>million veh</t>
  </si>
  <si>
    <t>'000 km</t>
  </si>
  <si>
    <t>billion seat km</t>
  </si>
  <si>
    <t>pers/veh</t>
  </si>
  <si>
    <t>billion pkm</t>
  </si>
  <si>
    <t>Modal share (pass-trips) 2005</t>
  </si>
  <si>
    <t>Busses</t>
  </si>
  <si>
    <t>MBTs</t>
  </si>
  <si>
    <t>Trains</t>
  </si>
  <si>
    <t>Air</t>
  </si>
  <si>
    <t>Total excluding air</t>
  </si>
  <si>
    <t>Private</t>
  </si>
  <si>
    <t>Cars</t>
  </si>
  <si>
    <t>SUV's</t>
  </si>
  <si>
    <t>Motos</t>
  </si>
  <si>
    <t>Income Level</t>
  </si>
  <si>
    <t>Low</t>
  </si>
  <si>
    <t>Middle</t>
  </si>
  <si>
    <t>High</t>
  </si>
  <si>
    <t>Company/Gov/Car rental</t>
  </si>
  <si>
    <t>Total/avg</t>
  </si>
  <si>
    <t>Annual Income (percentile)</t>
  </si>
  <si>
    <t>2005 R/yr</t>
  </si>
  <si>
    <t>Population</t>
  </si>
  <si>
    <t>million</t>
  </si>
  <si>
    <t>Demand workbook (CGE model-income expenditure survey)</t>
  </si>
  <si>
    <t>Car Ownership/access</t>
  </si>
  <si>
    <t>% of pers</t>
  </si>
  <si>
    <t>Household community survey</t>
  </si>
  <si>
    <t>cars per pers</t>
  </si>
  <si>
    <t>cars/pers</t>
  </si>
  <si>
    <t>Total cars</t>
  </si>
  <si>
    <t>Moto ownership</t>
  </si>
  <si>
    <t>Total motos</t>
  </si>
  <si>
    <t>million motos</t>
  </si>
  <si>
    <t>Share of pers with motos w both cars+motos</t>
  </si>
  <si>
    <t>pers with a priv. veh.</t>
  </si>
  <si>
    <t>Adj veh/pers</t>
  </si>
  <si>
    <t>veh/pers</t>
  </si>
  <si>
    <t>pers with a priv.veh</t>
  </si>
  <si>
    <t>million pers</t>
  </si>
  <si>
    <t>pers without a priv.veh</t>
  </si>
  <si>
    <t>Travel time budget</t>
  </si>
  <si>
    <t>hours/day/pers</t>
  </si>
  <si>
    <t>Traveling days</t>
  </si>
  <si>
    <t>days/year/pers</t>
  </si>
  <si>
    <t>Total travel time/pers</t>
  </si>
  <si>
    <t>hours/yr/pers</t>
  </si>
  <si>
    <t>Total travel time</t>
  </si>
  <si>
    <t>million hours/yr</t>
  </si>
  <si>
    <t>Waiting/walking time public</t>
  </si>
  <si>
    <t>Average Speed public</t>
  </si>
  <si>
    <t>km/h</t>
  </si>
  <si>
    <t>Average Speed car</t>
  </si>
  <si>
    <t>pkm by public/pers without a car</t>
  </si>
  <si>
    <t>'000 pkm/pers</t>
  </si>
  <si>
    <t>Travel time budget split (car+moto) for pers with car</t>
  </si>
  <si>
    <t>pkm by public/pers with a car</t>
  </si>
  <si>
    <t>Total Public</t>
  </si>
  <si>
    <t>pkm by priv.veh/pers with a priv.veh</t>
  </si>
  <si>
    <t>Total pkm by priv.veh</t>
  </si>
  <si>
    <t>pkm by moto</t>
  </si>
  <si>
    <t>moto occupancy</t>
  </si>
  <si>
    <t>moto km</t>
  </si>
  <si>
    <t>pkm by car</t>
  </si>
  <si>
    <t>Car/Suv Occupancy</t>
  </si>
  <si>
    <t>car km</t>
  </si>
  <si>
    <t>Adj occupancy</t>
  </si>
  <si>
    <t>Total veh</t>
  </si>
  <si>
    <t>Total veh km</t>
  </si>
  <si>
    <t>veh-km per veh</t>
  </si>
  <si>
    <t>'000 veh-km/veh</t>
  </si>
  <si>
    <t>Time budget check</t>
  </si>
  <si>
    <t>Total Error</t>
  </si>
  <si>
    <t>Adrian calibration:</t>
  </si>
  <si>
    <t>New Cal</t>
  </si>
  <si>
    <t>Adjusted (Rigid)</t>
  </si>
  <si>
    <t>Adjusted (Artic)</t>
  </si>
  <si>
    <t>Share Rigid</t>
  </si>
  <si>
    <t>Share Artic</t>
  </si>
  <si>
    <t>Average Load</t>
  </si>
  <si>
    <t>Total tkm</t>
  </si>
  <si>
    <t>tkm Share</t>
  </si>
  <si>
    <t>Metro</t>
  </si>
  <si>
    <t>Rural</t>
  </si>
  <si>
    <t>Error Share Corridor etc</t>
  </si>
  <si>
    <t>Error Rigid Artic Share</t>
  </si>
  <si>
    <t>litres</t>
  </si>
  <si>
    <t>Litres/1000tkm</t>
  </si>
  <si>
    <t>MJ/tkm</t>
  </si>
  <si>
    <t>Analytica Fuel Economies</t>
  </si>
  <si>
    <t>Corrected'</t>
  </si>
  <si>
    <t>Corrected Diesel</t>
  </si>
  <si>
    <t>3,000 -7,500</t>
  </si>
  <si>
    <t>7,501 – 12,000</t>
  </si>
  <si>
    <t>12,001 – 16,000</t>
  </si>
  <si>
    <t>16,001 – 20,000</t>
  </si>
  <si>
    <t>20,001 – 24,000</t>
  </si>
  <si>
    <t>24,001 – 32,000</t>
  </si>
  <si>
    <t>57 ton GVM is 25% of corridor - GAIN</t>
  </si>
  <si>
    <t>32,001 – 40,000</t>
  </si>
  <si>
    <t>40,001 – 50,000</t>
  </si>
  <si>
    <t>&gt;50,000</t>
  </si>
  <si>
    <t>SATIM</t>
  </si>
  <si>
    <t>Road Transport</t>
  </si>
  <si>
    <t>GAIN</t>
  </si>
  <si>
    <t>SAPIA 2013 (Aggregate)</t>
  </si>
  <si>
    <t>SAPIA 2013 (dis-Aggregate)</t>
  </si>
  <si>
    <t>Eskom</t>
  </si>
  <si>
    <t>Reconciliation of SATIM, GAIN FDM and Department of Energy/SAPIA</t>
  </si>
  <si>
    <t>1. ton-km Calibration of SATIM with GAIN FDM as published in the Logistics Barometer for 2014</t>
  </si>
  <si>
    <t>Classification</t>
  </si>
  <si>
    <t>Assumptions</t>
  </si>
  <si>
    <t>Model Outputs</t>
  </si>
  <si>
    <t>ton.km Results</t>
  </si>
  <si>
    <t>SATIM Vehicle Class</t>
  </si>
  <si>
    <t>NAAMSA GVM1</t>
  </si>
  <si>
    <t>Assumed Load Factors2</t>
  </si>
  <si>
    <t>Assumed Average Payload Capacity - Rigid [tons]</t>
  </si>
  <si>
    <t>Assumed Average Payload Capacity - Artic [tons]</t>
  </si>
  <si>
    <t>Assumed Share of tons moved (Rigid)</t>
  </si>
  <si>
    <t>Assumed Share of tons moved (Artic)</t>
  </si>
  <si>
    <t>Assumed New Vehicle Mileage (km)</t>
  </si>
  <si>
    <t>Assumed Share of tkm that is Corridor</t>
  </si>
  <si>
    <t>Assumed Share of tkm that is Metro</t>
  </si>
  <si>
    <t>Assumed Share of tkm that is Rural</t>
  </si>
  <si>
    <t>Assumed Weighted Average Payload Capacity of Class [tons]3</t>
  </si>
  <si>
    <t>Average Fleet Annual Mileage (km)4</t>
  </si>
  <si>
    <t>Count of Operating Vehicles 5</t>
  </si>
  <si>
    <t>Freight Output (tkm)</t>
  </si>
  <si>
    <t>Share of ton-km</t>
  </si>
  <si>
    <t>Corridor (tkm)</t>
  </si>
  <si>
    <t>Metropolitan (tkm)</t>
  </si>
  <si>
    <t>Rural (tkm)</t>
  </si>
  <si>
    <t>&lt;3,000</t>
  </si>
  <si>
    <t>1: Includes Truck-tractors, rigids, tippers etc so GCM and payload capacity varies widely within these categories for larger GVM</t>
  </si>
  <si>
    <t>2: Load Factor = Average Payload/Maximum Payload</t>
  </si>
  <si>
    <t>Check tkm Calibration</t>
  </si>
  <si>
    <t>3: Weighted Average of Rigid and Articulated Maximum Payloads</t>
  </si>
  <si>
    <t>SATIM:</t>
  </si>
  <si>
    <t>4: Output of vehicle Parc Model - Annual mileage is assumed to decay from the start value in Column H with age. e.g. For Class HCV6 vehicles aged 0-5 years cover 66% of total vehicle km and  vehicles age 0 - 10 years cover 92% of vehicle km of the class.</t>
  </si>
  <si>
    <t>GAIN (published in SOL):</t>
  </si>
  <si>
    <t>ERROR (%):</t>
  </si>
  <si>
    <t>5: Output of Vehicle Parc Model - NAAMSA Sales Data is Calibrated to eNatis Registration database using Scrapping Curves (Weibull distribution)</t>
  </si>
  <si>
    <t>CV1ODS</t>
  </si>
  <si>
    <t>CV1OGS</t>
  </si>
  <si>
    <t>CV2ODS</t>
  </si>
  <si>
    <t>CV3ODS</t>
  </si>
  <si>
    <t>CV4ODS</t>
  </si>
  <si>
    <t>CV5ODS</t>
  </si>
  <si>
    <t>CV6ODS</t>
  </si>
  <si>
    <t>CV7ODS</t>
  </si>
  <si>
    <t>CV8ODS</t>
  </si>
  <si>
    <t>CV9ODS</t>
  </si>
  <si>
    <t>LCVODS</t>
  </si>
  <si>
    <t>LCVOGS</t>
  </si>
  <si>
    <t>TRAOAG</t>
  </si>
  <si>
    <t>TRAOHF</t>
  </si>
  <si>
    <t>TRAOKE</t>
  </si>
  <si>
    <t>TRAOLP</t>
  </si>
  <si>
    <t>TRAHGN</t>
  </si>
  <si>
    <t>TRABGS</t>
  </si>
  <si>
    <t>[yyyy/2012]</t>
  </si>
  <si>
    <t>million km/y</t>
  </si>
  <si>
    <t>Demand (Useful Energy from Stock)</t>
  </si>
  <si>
    <t>Useful Energy (from Final)</t>
  </si>
  <si>
    <t>Light Commercial Vehicles</t>
  </si>
  <si>
    <t>Transport Freight - LCV Oil Diesel-E</t>
  </si>
  <si>
    <t>Transport Freight - LCV Oil Gasoline-E</t>
  </si>
  <si>
    <t>Transport Freight - HCV1 Oil Diesel-E</t>
  </si>
  <si>
    <t>Transport Freight - HCV1 Oil Gasoline-E</t>
  </si>
  <si>
    <t>Transport Freight - HCV2 Oil Diesel-E</t>
  </si>
  <si>
    <t>Transport Freight - HCV3 Oil Diesel-E</t>
  </si>
  <si>
    <t>Transport Freight - HCV4 Oil Diesel-E</t>
  </si>
  <si>
    <t>Transport Freight - HCV5 Oil Diesel-E</t>
  </si>
  <si>
    <t>Transport Freight - HCV6 Oil Diesel-E</t>
  </si>
  <si>
    <t>Transport Freight - HCV7 Oil Diesel-E</t>
  </si>
  <si>
    <t>Transport Freight - HCV8 Oil Diesel-E</t>
  </si>
  <si>
    <t>Transport Freight - HCV9 Oil Diesel-E</t>
  </si>
  <si>
    <t>TFRCOODS-E</t>
  </si>
  <si>
    <t>Transport Freight - Rail Corridor Oil Diesel-E</t>
  </si>
  <si>
    <t>btkm</t>
  </si>
  <si>
    <t>btkma</t>
  </si>
  <si>
    <t>TFRCOELC-E</t>
  </si>
  <si>
    <t>Transport Freight - Rail Corridor Electricity-E</t>
  </si>
  <si>
    <t>TFROTODS-E</t>
  </si>
  <si>
    <t>Transport Freight - Rail Other Oil Diesel-E</t>
  </si>
  <si>
    <t>TFROTELC-E</t>
  </si>
  <si>
    <t>Transport Freight - Rail Other Electricity-E</t>
  </si>
  <si>
    <t>TFREXODSR-E</t>
  </si>
  <si>
    <t>Transport Freight - Rail Export (bulk mining) Oil Diesel-E</t>
  </si>
  <si>
    <t>TFREXELCR-E</t>
  </si>
  <si>
    <t>Transport Freight - Rail Export (bulk mining) Electricity-E</t>
  </si>
  <si>
    <t>TFPIPELC-E</t>
  </si>
  <si>
    <t>Transport Other - Pipeline Electricity-E</t>
  </si>
  <si>
    <t>Pja</t>
  </si>
  <si>
    <t>TAIJETOKE-E</t>
  </si>
  <si>
    <t>Transport Other -  Aviation Int Jet Fuel -E</t>
  </si>
  <si>
    <t>TADJETOKE-E</t>
  </si>
  <si>
    <t>Transport Other -  Aviation Dom Jet Fuel -E</t>
  </si>
  <si>
    <t>TAOAGOAG-E</t>
  </si>
  <si>
    <t>Transport Other - Aviation Gasoline-E</t>
  </si>
  <si>
    <t>TSHFOOHF-E</t>
  </si>
  <si>
    <t>Transport Other - HFO-E</t>
  </si>
  <si>
    <t>Heavy Commercial Vehicles</t>
  </si>
  <si>
    <t>Freight Rail</t>
  </si>
  <si>
    <t>Transport Other</t>
  </si>
  <si>
    <t>Energy Balance 2017 Calibration</t>
  </si>
  <si>
    <t>https://www.dmre.gov.za/Portals/0/Energy_Website/files/energyStats_frame.html</t>
  </si>
  <si>
    <t>Transport Freight - HCV1 Gas-E</t>
  </si>
  <si>
    <t>Transport Freight - LCV Gas-E</t>
  </si>
  <si>
    <t>Analytica Transport Model (Merven et al 2018)</t>
  </si>
  <si>
    <t>N/A</t>
  </si>
  <si>
    <t>2017 [km / MJ]</t>
  </si>
  <si>
    <t>2017 [PJ]</t>
  </si>
  <si>
    <t>This worksheet is only used temporarily to populate freight rail energy values for 2017. Need to clean and consolodate calib_1011.</t>
  </si>
  <si>
    <t>Calibration is here</t>
  </si>
  <si>
    <t>Energy Balance Old Calibration</t>
  </si>
  <si>
    <t>Taken from CSIR State of Logistics Reports Downloaded from http://www.csir.co.za/sol/</t>
  </si>
  <si>
    <t>https://www.csir.co.za/state-logistics-survey-south-africa-gearing-change</t>
  </si>
  <si>
    <t>Billion Tonkm</t>
  </si>
  <si>
    <t>SOL2004</t>
  </si>
  <si>
    <t>SOL2005</t>
  </si>
  <si>
    <t>SOL2006</t>
  </si>
  <si>
    <t>SOL2007</t>
  </si>
  <si>
    <t>SOL2008</t>
  </si>
  <si>
    <t>SOL2009</t>
  </si>
  <si>
    <t>SOL2010</t>
  </si>
  <si>
    <t>SOL2011</t>
  </si>
  <si>
    <t>SOL2012</t>
  </si>
  <si>
    <t>SOL2013</t>
  </si>
  <si>
    <t>Road</t>
  </si>
  <si>
    <t>Rail</t>
  </si>
  <si>
    <t>Export</t>
  </si>
  <si>
    <t>Total</t>
  </si>
  <si>
    <t>Corridor tonkm</t>
  </si>
  <si>
    <t>Road share</t>
  </si>
  <si>
    <t>Rail share</t>
  </si>
  <si>
    <t>Rail Share ex Bulk</t>
  </si>
  <si>
    <t>All Rail</t>
  </si>
  <si>
    <t>Corridor %</t>
  </si>
  <si>
    <t>Growths</t>
  </si>
  <si>
    <t>Shares</t>
  </si>
  <si>
    <t>taken from: NATMAP2050 2017 7_FreightTransport2017</t>
  </si>
  <si>
    <t>Metro total</t>
  </si>
  <si>
    <t>Rural Total</t>
  </si>
  <si>
    <t>Corridor Total</t>
  </si>
  <si>
    <t>Export Total</t>
  </si>
  <si>
    <t>Corridor traffic</t>
  </si>
  <si>
    <t>Route</t>
  </si>
  <si>
    <t>Metric</t>
  </si>
  <si>
    <t>Category</t>
  </si>
  <si>
    <t>DBN-GTG</t>
  </si>
  <si>
    <t>Mt</t>
  </si>
  <si>
    <t>CPT-GTG</t>
  </si>
  <si>
    <t>GTG-BTG</t>
  </si>
  <si>
    <t>GTG-PE</t>
  </si>
  <si>
    <t>GTG-EL</t>
  </si>
  <si>
    <t>Demand Commodities and Base Year Values</t>
  </si>
  <si>
    <t>~FI_Comm</t>
  </si>
  <si>
    <t>CommName</t>
  </si>
  <si>
    <t>Demand</t>
  </si>
  <si>
    <t>Demand Commodities</t>
  </si>
  <si>
    <t>CommDesc</t>
  </si>
  <si>
    <t>CommUnit</t>
  </si>
  <si>
    <t>Csets</t>
  </si>
  <si>
    <t>CTSLvl</t>
  </si>
  <si>
    <t>Attribute</t>
  </si>
  <si>
    <t>Demand Commodity Name</t>
  </si>
  <si>
    <t>Demand Value</t>
  </si>
  <si>
    <t>bvkm</t>
  </si>
  <si>
    <t>DEM</t>
  </si>
  <si>
    <t>bpkm</t>
  </si>
  <si>
    <t>ptkm</t>
  </si>
  <si>
    <t>[Note]</t>
  </si>
  <si>
    <t>From DMD_PRJ BY-DMD</t>
  </si>
  <si>
    <t>Vintage</t>
  </si>
  <si>
    <t>TPPRSUVODS-N</t>
  </si>
  <si>
    <t>Transport Passenger SUV Priv.Veh. Oil Diesel-N</t>
  </si>
  <si>
    <t>yes</t>
  </si>
  <si>
    <t>TPPRSUVOGS-N</t>
  </si>
  <si>
    <t>Transport Passenger SUV Priv.Veh. Oil Gasoline-N</t>
  </si>
  <si>
    <t>TPPRSUVODSH-N</t>
  </si>
  <si>
    <t>Transport Passenger SUV Priv.Veh. Oil Diesel Hybrid-N</t>
  </si>
  <si>
    <t>TPPRSUVOGSH-N</t>
  </si>
  <si>
    <t>Transport Passenger SUV Priv.Veh. Oil Gasoline Hybrid-N</t>
  </si>
  <si>
    <t>TPPRSUVGAS-N</t>
  </si>
  <si>
    <t>Transport Passenger SUV Priv.Veh. Gas-N</t>
  </si>
  <si>
    <t>TPPRSUVHGNF-N</t>
  </si>
  <si>
    <t>Transport Passenger SUV Priv.Veh. Hydrogen Fuel Cell-N</t>
  </si>
  <si>
    <t>TPPRSUVBGS-N</t>
  </si>
  <si>
    <t>Transport Passenger SUV Priv.Veh. Oil Blended Gasoline-Ethanol-E85-N</t>
  </si>
  <si>
    <t>TPPRSUVELC-N</t>
  </si>
  <si>
    <t>Transport Passenger SUV Priv.Veh. Electricity-N</t>
  </si>
  <si>
    <t>TPPRCARODS-N</t>
  </si>
  <si>
    <t>Transport Passenger Car Priv.Veh. Oil Diesel-N</t>
  </si>
  <si>
    <t>TPPRCAROGS-N</t>
  </si>
  <si>
    <t>Transport Passenger Car Priv.Veh. Oil Gasoline-N</t>
  </si>
  <si>
    <t>TPPRCARODSH-N</t>
  </si>
  <si>
    <t>Transport Passenger Car Priv.Veh. Oil Diesel Hybrid-N</t>
  </si>
  <si>
    <t>TPPRCAROGSH-N</t>
  </si>
  <si>
    <t>Transport Passenger Car Priv.Veh. Oil Gasoline Hybrid-N</t>
  </si>
  <si>
    <t>TPPRCARELC-N</t>
  </si>
  <si>
    <t>Transport Passenger Car Priv.Veh. Electricity-N</t>
  </si>
  <si>
    <t>TPPRCARGAS-N</t>
  </si>
  <si>
    <t>Transport Passenger Car Priv.Veh. Gas-N</t>
  </si>
  <si>
    <t>TPPRCARHGNF-N</t>
  </si>
  <si>
    <t>Transport Passenger Car Priv.Veh. Hydrogen Fuel Cell-N</t>
  </si>
  <si>
    <t>TPPRCARBGS-N</t>
  </si>
  <si>
    <t>Transport Passenger Car Priv.Veh. Oil Blended Gasoline-Ethanol-E85-N</t>
  </si>
  <si>
    <t>Transport Passenger Moto Priv.Veh. Oil Gasoline-N</t>
  </si>
  <si>
    <t>TPPRMOTELC-N</t>
  </si>
  <si>
    <t>Transport Passenger Moto Priv.Veh. Electricity-N</t>
  </si>
  <si>
    <t>TPPUBUSODS-N</t>
  </si>
  <si>
    <t>Transport Passenger Bus Oil Diesel-N</t>
  </si>
  <si>
    <t>TPPUBUSGAS-N</t>
  </si>
  <si>
    <t>Transport Passenger Bus Gas-N</t>
  </si>
  <si>
    <t>TPPUBUSHGNF-N</t>
  </si>
  <si>
    <t>Transport Passenger Bus Hydrogen Fuel Cell-N</t>
  </si>
  <si>
    <t>TPPUBUSBGS-N</t>
  </si>
  <si>
    <t>Transport Passenger Bus Oil Blended Gasoline-Ethanol-E85-N</t>
  </si>
  <si>
    <t>TPPUBUSELC-N</t>
  </si>
  <si>
    <t>Transport Passenger Bus Electricity-N</t>
  </si>
  <si>
    <t>TPPUMBTODS-N</t>
  </si>
  <si>
    <t>Transport Passenger Minibus Oil Diesel-N</t>
  </si>
  <si>
    <t>TPPUMBTOGS-N</t>
  </si>
  <si>
    <t>Transport Passenger Minibus Oil Gasoline-N</t>
  </si>
  <si>
    <t>TPPUMBTODSH-N</t>
  </si>
  <si>
    <t>Transport Passenger Minibus Oil Diesel Hybrid-N</t>
  </si>
  <si>
    <t>TPPUMBTGAS-N</t>
  </si>
  <si>
    <t>Transport Passenger Minibus Gas-N</t>
  </si>
  <si>
    <t>TPPUMBTHGNF-N</t>
  </si>
  <si>
    <t>Transport Passenger Minibus Hydrogen Fuel Cell-N</t>
  </si>
  <si>
    <t>TPPUMBTBGS-N</t>
  </si>
  <si>
    <t>Transport Passenger Minibus Oil Blended Gasoline-Ethanol-E85-N</t>
  </si>
  <si>
    <t>TPPUMBTELC-N</t>
  </si>
  <si>
    <t>Transport Passenger Minibus Electricity-N</t>
  </si>
  <si>
    <t>Transport Passenger BRT Oil Diesel-N</t>
  </si>
  <si>
    <t>TPPUBRTGAS-N</t>
  </si>
  <si>
    <t>Transport Passenger BRT Gas-N</t>
  </si>
  <si>
    <t>TPPUBRTELC-N</t>
  </si>
  <si>
    <t>Transport Passenger BRT Electricity-N</t>
  </si>
  <si>
    <t>TPPUBRTHGNF-N</t>
  </si>
  <si>
    <t>Transport Passenger BRT Hydrogen-N</t>
  </si>
  <si>
    <t>TPPUBRTBGS-N</t>
  </si>
  <si>
    <t>Transport Passenger BRT Oil Blended Gasoline-Ethanol-E85-N</t>
  </si>
  <si>
    <t>Transport Passenger Metro Rail Electricity-N</t>
  </si>
  <si>
    <t>Transport Passenger Gautrain Electricity-N</t>
  </si>
  <si>
    <t>TFLCVODS-N</t>
  </si>
  <si>
    <t>Transport Freight - LCV Oil Diesel-N</t>
  </si>
  <si>
    <t>TFLCVODSH-N</t>
  </si>
  <si>
    <t>Transport Freight - LCV Oil Diesel Hybrid-N</t>
  </si>
  <si>
    <t>TFLCVOGS-N</t>
  </si>
  <si>
    <t>Transport Freight - LCV Oil Gasoline-N</t>
  </si>
  <si>
    <t>TFLCVOGSH-N</t>
  </si>
  <si>
    <t>Transport Freight - LCV Oil GasolineHybrid-N</t>
  </si>
  <si>
    <t>TFLCVGAS-N</t>
  </si>
  <si>
    <t>Transport Freight - LCV Gas-N</t>
  </si>
  <si>
    <t>TFLCVELC-N</t>
  </si>
  <si>
    <t>Transport Freight - LCV Electricity-N</t>
  </si>
  <si>
    <t>TFHCV1ODS-N</t>
  </si>
  <si>
    <t>Transport Freight - HCV1 Oil Diesel-N</t>
  </si>
  <si>
    <t>TFHCV1OGS-N</t>
  </si>
  <si>
    <t>Transport Freight - HCV1 Oil Gasoline-N</t>
  </si>
  <si>
    <t>TFHCV2ODS-N</t>
  </si>
  <si>
    <t>Transport Freight - HCV2 Oil Diesel-N</t>
  </si>
  <si>
    <t>TFHCV3ODS-N</t>
  </si>
  <si>
    <t>Transport Freight - HCV3 Oil Diesel-N</t>
  </si>
  <si>
    <t>TFHCV4ODS-N</t>
  </si>
  <si>
    <t>Transport Freight - HCV4 Oil Diesel-N</t>
  </si>
  <si>
    <t>TFHCV5ODS-N</t>
  </si>
  <si>
    <t>Transport Freight - HCV5 Oil Diesel-N</t>
  </si>
  <si>
    <t>TFHCV6ODS-N</t>
  </si>
  <si>
    <t>Transport Freight - HCV6 Oil Diesel-N</t>
  </si>
  <si>
    <t>TFHCV7ODS-N</t>
  </si>
  <si>
    <t>Transport Freight - HCV7 Oil Diesel-N</t>
  </si>
  <si>
    <t>TFHCV8ODS-N</t>
  </si>
  <si>
    <t>Transport Freight - HCV8 Oil Diesel-N</t>
  </si>
  <si>
    <t>TFHCV9ODS-N</t>
  </si>
  <si>
    <t>Transport Freight - HCV9 Oil Diesel-N</t>
  </si>
  <si>
    <t>TFHCV1GAS-N</t>
  </si>
  <si>
    <t>Transport Freight - HCV1 Gas-N</t>
  </si>
  <si>
    <t>TFHCV2GAS-N</t>
  </si>
  <si>
    <t>Transport Freight - HCV2 Gas-N</t>
  </si>
  <si>
    <t>TFHCV3GAS-N</t>
  </si>
  <si>
    <t>Transport Freight - HCV3 Gas-N</t>
  </si>
  <si>
    <t>TFHCV4GAS-N</t>
  </si>
  <si>
    <t>Transport Freight - HCV4 Gas-N</t>
  </si>
  <si>
    <t>TFHCV5GAS-N</t>
  </si>
  <si>
    <t>Transport Freight - HCV5 Gas-N</t>
  </si>
  <si>
    <t>TFHCV6GAS-N</t>
  </si>
  <si>
    <t>Transport Freight - HCV6 Gas-N</t>
  </si>
  <si>
    <t>TFHCV7GAS-N</t>
  </si>
  <si>
    <t>Transport Freight - HCV7 Gas-N</t>
  </si>
  <si>
    <t>TFHCV8GAS-N</t>
  </si>
  <si>
    <t>Transport Freight - HCV8 Gas-N</t>
  </si>
  <si>
    <t>TFHCV9GAS-N</t>
  </si>
  <si>
    <t>Transport Freight - HCV9 Gas-N</t>
  </si>
  <si>
    <t>TFHCV1ELC-N</t>
  </si>
  <si>
    <t>Transport Freight - HCV1 Electricity-N</t>
  </si>
  <si>
    <t>TFHCV2ELC-N</t>
  </si>
  <si>
    <t>Transport Freight - HCV2 Electricity-N</t>
  </si>
  <si>
    <t>TFHCV3ELC-N</t>
  </si>
  <si>
    <t>Transport Freight - HCV3 Electricity-N</t>
  </si>
  <si>
    <t>TFHCV4ELC-N</t>
  </si>
  <si>
    <t>Transport Freight - HCV4 Electricity-N</t>
  </si>
  <si>
    <t>TFHCV5ELC-N</t>
  </si>
  <si>
    <t>Transport Freight - HCV5 Electricity-N</t>
  </si>
  <si>
    <t>TFHCV6ELC-N</t>
  </si>
  <si>
    <t>Transport Freight - HCV6 Electricity-N</t>
  </si>
  <si>
    <t>TFHCV7ELC-N</t>
  </si>
  <si>
    <t>Transport Freight - HCV7 Electricity-N</t>
  </si>
  <si>
    <t>TFHCV8ELC-N</t>
  </si>
  <si>
    <t>Transport Freight - HCV8 Electricity-N</t>
  </si>
  <si>
    <t>TFHCV9ELC-N</t>
  </si>
  <si>
    <t>Transport Freight - HCV9 Electricity-N</t>
  </si>
  <si>
    <t>TFHCV2HGN-N</t>
  </si>
  <si>
    <t>Transport Freight - HCV2 Hydrogen-N</t>
  </si>
  <si>
    <t>TFHCV3HGN-N</t>
  </si>
  <si>
    <t>Transport Freight - HCV3 Hydrogen-N</t>
  </si>
  <si>
    <t>TFHCV4HGN-N</t>
  </si>
  <si>
    <t>Transport Freight - HCV4 Hydrogen-N</t>
  </si>
  <si>
    <t>TFHCV5HGN-N</t>
  </si>
  <si>
    <t>Transport Freight - HCV5 Hydrogen-N</t>
  </si>
  <si>
    <t>TFHCV6HGN-N</t>
  </si>
  <si>
    <t>Transport Freight - HCV6 Hydrogen-N</t>
  </si>
  <si>
    <t>TFHCV7HGN-N</t>
  </si>
  <si>
    <t>Transport Freight - HCV7 Hydrogen-N</t>
  </si>
  <si>
    <t>TFHCV8HGN-N</t>
  </si>
  <si>
    <t>Transport Freight - HCV8 Hydrogen-N</t>
  </si>
  <si>
    <t>TFHCV9HGN-N</t>
  </si>
  <si>
    <t>Transport Freight - HCV9 Hydrogen-N</t>
  </si>
  <si>
    <t>TFRCOGAS-N</t>
  </si>
  <si>
    <t>Transport Freight - Rail Corridor Gas-N</t>
  </si>
  <si>
    <t>TFRCOELC-N</t>
  </si>
  <si>
    <t>Transport Freight - Rail Corridor Electricity-N</t>
  </si>
  <si>
    <t>TFROTELC-N</t>
  </si>
  <si>
    <t>Transport Freight - Rail Other Electricity-N</t>
  </si>
  <si>
    <t>TFREXELC-N</t>
  </si>
  <si>
    <t>Transport Freight - Rail Export (bulk mining) Electricity-N</t>
  </si>
  <si>
    <t>TFPIPELC-N</t>
  </si>
  <si>
    <t>Transport Other - Pipeline Electricity-N</t>
  </si>
  <si>
    <t>TAIJETOKE-N</t>
  </si>
  <si>
    <t>Transport Other -  Aviation Int Jet Fuel  Oil Jet Fuel-N</t>
  </si>
  <si>
    <t>TADJETOKE-N</t>
  </si>
  <si>
    <t>Transport Other -  Aviation Dom Jet Fuel  Oil Jet Fuel-N</t>
  </si>
  <si>
    <t>TAOAGOAG-N</t>
  </si>
  <si>
    <t>Transport Other - Aviation Gasoline T-N</t>
  </si>
  <si>
    <t>TSHFOOHF-N</t>
  </si>
  <si>
    <t>Transport Other - HFO Oil HFO-N</t>
  </si>
  <si>
    <t>Public BRT</t>
  </si>
  <si>
    <t>Public Passenger Rail</t>
  </si>
  <si>
    <t>Freight LCVs</t>
  </si>
  <si>
    <t>Freight HCVs</t>
  </si>
  <si>
    <t>TFRCOODS-N</t>
  </si>
  <si>
    <t>TFROTODS-N</t>
  </si>
  <si>
    <t>TFREXODSR-N</t>
  </si>
  <si>
    <t>VEDA Input - New Transport Stock</t>
  </si>
  <si>
    <t>VEDA Input - Existing Transport Stock</t>
  </si>
  <si>
    <t>Existing Vehicles Efficiency Data</t>
  </si>
  <si>
    <t>Existing Vehicles Mileage Data</t>
  </si>
  <si>
    <t>Existing Vehicle Stock Data</t>
  </si>
  <si>
    <t>Existing Vehicle Base Year Final Energy Data</t>
  </si>
  <si>
    <t>AEA2012</t>
  </si>
  <si>
    <t>AEA2012 Veh Class</t>
  </si>
  <si>
    <t>AEA2012 Veh Engine</t>
  </si>
  <si>
    <t xml:space="preserve">Van / LCV </t>
  </si>
  <si>
    <t>Diesel ICE</t>
  </si>
  <si>
    <t>Petrol ICE</t>
  </si>
  <si>
    <t>Diesel HEV</t>
  </si>
  <si>
    <t>Petrol HEV</t>
  </si>
  <si>
    <t>NG ICE</t>
  </si>
  <si>
    <t>H2FC</t>
  </si>
  <si>
    <t>BEV</t>
  </si>
  <si>
    <t>Passenger Car</t>
  </si>
  <si>
    <t>Motorcycle or Moped</t>
  </si>
  <si>
    <t>Small Rigid Truck</t>
  </si>
  <si>
    <t>Construction Truck</t>
  </si>
  <si>
    <t>Large Rigid Truck</t>
  </si>
  <si>
    <t>Articulated Truck</t>
  </si>
  <si>
    <t>Road Vehicle Cost and Efficiency Calculation Framework 2010-2050 (2012) #ED57444 with 8% drate</t>
  </si>
  <si>
    <t>British Pound to South African Rand (GBP ZAR) for 31 December 2012 (31/12/2012)</t>
  </si>
  <si>
    <t xml:space="preserve">1 2012 ZAR = </t>
  </si>
  <si>
    <t>2022 ZAR</t>
  </si>
  <si>
    <t>Excl. Fuel</t>
  </si>
  <si>
    <t>D.Rate:</t>
  </si>
  <si>
    <t>All prices below converted to 2022ZAR (link to old GBP prices removed)</t>
  </si>
  <si>
    <t>Real-World</t>
  </si>
  <si>
    <t>Net MJ/km (RW)</t>
  </si>
  <si>
    <t>Eff of refuelling system</t>
  </si>
  <si>
    <t>check:</t>
  </si>
  <si>
    <t>Capital Cost, £</t>
  </si>
  <si>
    <t>Average</t>
  </si>
  <si>
    <t>2022ZAR</t>
  </si>
  <si>
    <t>%petrol</t>
  </si>
  <si>
    <t>Efficiency, MJ/km</t>
  </si>
  <si>
    <t>Overall vehicle</t>
  </si>
  <si>
    <t>Petrol PHEV</t>
  </si>
  <si>
    <t>Diesel PHEV</t>
  </si>
  <si>
    <t>Petrol REEV</t>
  </si>
  <si>
    <t>Diesel REEV</t>
  </si>
  <si>
    <t>H2FC PHEV</t>
  </si>
  <si>
    <t>H2FC REEV</t>
  </si>
  <si>
    <t>Motorcycle or Moped (2010) (Real-World)</t>
  </si>
  <si>
    <t>Small Rigid Truck (2010) (Real-World)</t>
  </si>
  <si>
    <t>Diesel FHV</t>
  </si>
  <si>
    <t>Diesel HHV</t>
  </si>
  <si>
    <t>DNG ICE</t>
  </si>
  <si>
    <t>Articulated Truck (2010) (Real-World)</t>
  </si>
  <si>
    <t>Construction Truck (2050) (Real-World)</t>
  </si>
  <si>
    <t>H2/BEV parity rate</t>
  </si>
  <si>
    <t>New Vehicles Efficiency Data</t>
  </si>
  <si>
    <t>NewTechName</t>
  </si>
  <si>
    <t>Base Year</t>
  </si>
  <si>
    <t>Y/Y Change - PAS</t>
  </si>
  <si>
    <t>Y/Y Change - FRE</t>
  </si>
  <si>
    <t>IEA (2018) historic until 2020 and ~ NPS until 2040</t>
  </si>
  <si>
    <t>Assumed same as OGS</t>
  </si>
  <si>
    <t>Assumed same as ODS</t>
  </si>
  <si>
    <t>Assumed same as OGS/OGSH Ratio</t>
  </si>
  <si>
    <t>Annualised Efficiency Improvement</t>
  </si>
  <si>
    <t>Note / Source</t>
  </si>
  <si>
    <t>Analytica (Existing tech)</t>
  </si>
  <si>
    <t>Assume same ODS/ELC ratio as HCV3</t>
  </si>
  <si>
    <t>Assume same GAS/ELC ratio as HCV3</t>
  </si>
  <si>
    <t>Assume same as RCO-ELC</t>
  </si>
  <si>
    <t>DMD_PRJ Fix</t>
  </si>
  <si>
    <t>DMD_PRJ fix</t>
  </si>
  <si>
    <t>Assumed same as Metro Rail (Analytica)</t>
  </si>
  <si>
    <t>Input Com</t>
  </si>
  <si>
    <t>Useful E</t>
  </si>
  <si>
    <t>New Vehicles CapAct Data</t>
  </si>
  <si>
    <t>Unit: MJ/km</t>
  </si>
  <si>
    <t>Assume same as other SUVs</t>
  </si>
  <si>
    <t>Assume same as CAROGS</t>
  </si>
  <si>
    <t>Assume same as other MBTs</t>
  </si>
  <si>
    <t>Assume same as other LCVs</t>
  </si>
  <si>
    <t>Assume same as HCVOGS</t>
  </si>
  <si>
    <t>Assume same as MOTOGS</t>
  </si>
  <si>
    <t>Assume same as BUSODS</t>
  </si>
  <si>
    <t>Assume same as LCVODS</t>
  </si>
  <si>
    <t>Assume same as MER</t>
  </si>
  <si>
    <t>Unit Price (excl. luxury tax)</t>
  </si>
  <si>
    <t>2024 ZAR Average Price</t>
  </si>
  <si>
    <t>Cars.co.za</t>
  </si>
  <si>
    <t>2024 Toyota RAV4 2.5 GX-R Hyrbid CVT E-Four</t>
  </si>
  <si>
    <t>2024 Toyota Corolla 1.8 XS Hybrid Auto</t>
  </si>
  <si>
    <t>GreenCape EV MIR 2024</t>
  </si>
  <si>
    <t>Adjusted in proportion to AutoTrader data</t>
  </si>
  <si>
    <t>2024 Volkswagen Caddy Maxi Cargo 2.0 TDI</t>
  </si>
  <si>
    <t>https://www.lhyfe-heroes.com/about-hydrogen/whats-the-cost-of-a-hydrogen-car-a-comprehensive-guide-to-hydrogen-car-prices</t>
  </si>
  <si>
    <t>USD 58000 base price in USA (Aug 2024)</t>
  </si>
  <si>
    <t>Isuzu</t>
  </si>
  <si>
    <t>NMR 250 4x2</t>
  </si>
  <si>
    <t>Assume same ratio as ICE SUVs</t>
  </si>
  <si>
    <t>Derived</t>
  </si>
  <si>
    <t>2024 Hyundai Tuscon</t>
  </si>
  <si>
    <t>Hyundai</t>
  </si>
  <si>
    <t>2024 Hyundai Tuscon Diesel</t>
  </si>
  <si>
    <t>Assume same ratio as ICEs</t>
  </si>
  <si>
    <t>Assume same ratio as BEV/H2 Cars</t>
  </si>
  <si>
    <t>Assume same as OGS</t>
  </si>
  <si>
    <t>Assume same ratio as OGS SUV hybrids</t>
  </si>
  <si>
    <t>Assume same as ODS</t>
  </si>
  <si>
    <t>Assume same as HCV1</t>
  </si>
  <si>
    <t>Assume 0.75*HCV7</t>
  </si>
  <si>
    <t>Assume same as HCV7</t>
  </si>
  <si>
    <t>Assume same BEV/ODS ratio as HCV7</t>
  </si>
  <si>
    <t>Price Evolution</t>
  </si>
  <si>
    <t>Price Rel to 2024</t>
  </si>
  <si>
    <t>Luxury Tax Table</t>
  </si>
  <si>
    <t>Basic price</t>
  </si>
  <si>
    <t>Tax rate</t>
  </si>
  <si>
    <t>Price incl. tax</t>
  </si>
  <si>
    <t>Reference model</t>
  </si>
  <si>
    <t>HEV</t>
  </si>
  <si>
    <t>Powertrain</t>
  </si>
  <si>
    <t>Type</t>
  </si>
  <si>
    <t>Model Year</t>
  </si>
  <si>
    <t>MSRP 2021$</t>
  </si>
  <si>
    <t>NREL (2022) T3CO Transportation TCO Medium and Heavy Duty Vehicles</t>
  </si>
  <si>
    <t>Class 8 Box truck</t>
  </si>
  <si>
    <t>Conservative</t>
  </si>
  <si>
    <t>https://www.nrel.gov/transportation/t3co.html</t>
  </si>
  <si>
    <t>Class 6 Box truck</t>
  </si>
  <si>
    <t>Aggressive</t>
  </si>
  <si>
    <t xml:space="preserve">1 2021 USD = </t>
  </si>
  <si>
    <t xml:space="preserve">2021 ZAR = </t>
  </si>
  <si>
    <t>Interpolated</t>
  </si>
  <si>
    <t>Sum of MSRP 2021$</t>
  </si>
  <si>
    <t>Column Labels</t>
  </si>
  <si>
    <t>Ntech Prem</t>
  </si>
  <si>
    <t>Row Labels</t>
  </si>
  <si>
    <t>Class 4 Box truck</t>
  </si>
  <si>
    <t>FCEV</t>
  </si>
  <si>
    <t>FOM%</t>
  </si>
  <si>
    <t>Assumption</t>
  </si>
  <si>
    <t>Assumed</t>
  </si>
  <si>
    <t>INVCOST~2025</t>
  </si>
  <si>
    <t>INVCOST~2030</t>
  </si>
  <si>
    <t>INVCOST~2035</t>
  </si>
  <si>
    <t>INVCOST~2040</t>
  </si>
  <si>
    <t>INVCOST~2050</t>
  </si>
  <si>
    <t>INVCOST~2020</t>
  </si>
  <si>
    <t>INVCOST~2045</t>
  </si>
  <si>
    <t>million 2022 ZAR / '000 veh</t>
  </si>
  <si>
    <t>FIXOM~2020</t>
  </si>
  <si>
    <t>FIXOM~2030</t>
  </si>
  <si>
    <t>FIXOM~2040</t>
  </si>
  <si>
    <t>FIXOM~2050</t>
  </si>
  <si>
    <t>NCAP_ELIFE</t>
  </si>
  <si>
    <t>NCAP_TLIFE</t>
  </si>
  <si>
    <t>START</t>
  </si>
  <si>
    <t>[emergent]</t>
  </si>
  <si>
    <t>Start year</t>
  </si>
  <si>
    <t>Off</t>
  </si>
  <si>
    <t>Emergent</t>
  </si>
  <si>
    <t>Engine</t>
  </si>
  <si>
    <t>Assume 1.6*OGS</t>
  </si>
  <si>
    <t>SATIMVeh</t>
  </si>
  <si>
    <t>HFO</t>
  </si>
  <si>
    <t>Gautrain</t>
  </si>
  <si>
    <t>Pipeline</t>
  </si>
  <si>
    <t>HCV1</t>
  </si>
  <si>
    <t>HCV2</t>
  </si>
  <si>
    <t>HCV3</t>
  </si>
  <si>
    <t>HCV4</t>
  </si>
  <si>
    <t>HCV5</t>
  </si>
  <si>
    <t>HCV6</t>
  </si>
  <si>
    <t>HCV7</t>
  </si>
  <si>
    <t>HCV8</t>
  </si>
  <si>
    <t>HCV9</t>
  </si>
  <si>
    <t>STEPS</t>
  </si>
  <si>
    <t>APS</t>
  </si>
  <si>
    <t>NZE</t>
  </si>
  <si>
    <t>USD (2022)</t>
  </si>
  <si>
    <t>Curve fitting</t>
  </si>
  <si>
    <t>ZAR (2022)</t>
  </si>
  <si>
    <t>Linear learning rates</t>
  </si>
  <si>
    <t>IEA scen</t>
  </si>
  <si>
    <t>2010-2022</t>
  </si>
  <si>
    <t>2022-2030</t>
  </si>
  <si>
    <t>2030-2050</t>
  </si>
  <si>
    <t>STEPS-USD</t>
  </si>
  <si>
    <t>APS-USD</t>
  </si>
  <si>
    <t>NZE-USD</t>
  </si>
  <si>
    <t>IEA WEO 2023 APS</t>
  </si>
  <si>
    <t>SATIMSubSector</t>
  </si>
  <si>
    <t>PassPriv</t>
  </si>
  <si>
    <t>PassPub</t>
  </si>
  <si>
    <t>FreightRoad</t>
  </si>
  <si>
    <t>FreightRail</t>
  </si>
  <si>
    <t>FreightPip</t>
  </si>
  <si>
    <t>Aviation-International</t>
  </si>
  <si>
    <t>Aviation-Domestic</t>
  </si>
  <si>
    <t>TraOther</t>
  </si>
  <si>
    <t>Relative to 2024</t>
  </si>
  <si>
    <t>Modified Price Projections Rel to 2024</t>
  </si>
  <si>
    <t>ZAR 2024/2022</t>
  </si>
  <si>
    <t>ZAR 2022</t>
  </si>
  <si>
    <t xml:space="preserve">2024 Volvo EX30 </t>
  </si>
  <si>
    <t>Average ICE</t>
  </si>
  <si>
    <t>AEA2012 Derived</t>
  </si>
  <si>
    <t>Fuel cells</t>
  </si>
  <si>
    <t xml:space="preserve">2024 Volkswagen Polo Vivo </t>
  </si>
  <si>
    <t>PriceProj</t>
  </si>
  <si>
    <t>relative to 2024</t>
  </si>
  <si>
    <t>NREL2022</t>
  </si>
  <si>
    <t>Powertrain Type</t>
  </si>
  <si>
    <t>Design_Cate</t>
  </si>
  <si>
    <t>Years</t>
  </si>
  <si>
    <t>NREL 2022 - ADOPT (Automotive Deployment Options Projection Tool) Light Duty Vehicles</t>
  </si>
  <si>
    <t>Standard</t>
  </si>
  <si>
    <t>car</t>
  </si>
  <si>
    <t>https://www.nrel.gov/transportation/adopt.html</t>
  </si>
  <si>
    <t>truck</t>
  </si>
  <si>
    <t>2021$</t>
  </si>
  <si>
    <t>Hybrid</t>
  </si>
  <si>
    <t>FuelCell</t>
  </si>
  <si>
    <t>PHEV</t>
  </si>
  <si>
    <t>FCEV learning</t>
  </si>
  <si>
    <t>suv</t>
  </si>
  <si>
    <t>** 2017 for DMD_PRJ</t>
  </si>
  <si>
    <t>TPPRSUVOGSP-N</t>
  </si>
  <si>
    <t>Transport Passenger SUV Priv.Veh. Oil Gasoline Plug-in Hybrid-N</t>
  </si>
  <si>
    <t>TPPRCAROGSP-N</t>
  </si>
  <si>
    <t>Transport Passenger Car Priv.Veh. Oil Gasoline Plug-in Hybrid-N</t>
  </si>
  <si>
    <t>Efficiency ratio to HEV assumed from Dauphin et al 2023</t>
  </si>
  <si>
    <t>BMW X1 PHEV</t>
  </si>
  <si>
    <t>Assume same ratio as PHEV/HEV SUVs</t>
  </si>
  <si>
    <t>C40 study 2024</t>
  </si>
  <si>
    <t>Assume 2x Diesel cost (see Evans 2024)</t>
  </si>
  <si>
    <t>Assume same as BUS</t>
  </si>
  <si>
    <t>ICCT 2022 ratio</t>
  </si>
  <si>
    <t>Assume same ratio as HCV7</t>
  </si>
  <si>
    <t>2024 VW Caddy 1.6</t>
  </si>
  <si>
    <t>AutoTrader</t>
  </si>
  <si>
    <t>[On/Off]</t>
  </si>
  <si>
    <t>[Tech]</t>
  </si>
  <si>
    <t>https://www.ewizz.co.za/fleet</t>
  </si>
  <si>
    <t>Ewizz Buzz2 N30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</si>
</sst>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9">
    <numFmt numFmtId="43" formatCode="_-* #,##0.00_-;\-* #,##0.00_-;_-* &quot;-&quot;??_-;_-@_-"/>
    <numFmt numFmtId="164" formatCode="#,##0.00;\-#,##0.00;\-"/>
    <numFmt numFmtId="165" formatCode="_(* #,##0.00_);_(* \(#,##0.00\);_(* &quot;-&quot;??_);_(@_)"/>
    <numFmt numFmtId="166" formatCode="[$£-809]#,##0.00;[Red]&quot;-&quot;[$£-809]#,##0.00"/>
    <numFmt numFmtId="167" formatCode="[$£-809]#,##0.000;[Red][$£-809]#,##0.000"/>
    <numFmt numFmtId="168" formatCode="_(* #,##0.000_);_(* \(#,##0.000\);_(* &quot;-&quot;??_);_(@_)"/>
    <numFmt numFmtId="169" formatCode="_ * #,##0.00_ ;_ * \-#,##0.00_ ;_ * &quot;-&quot;??_ ;_ @_ "/>
    <numFmt numFmtId="170" formatCode="_(* #,##0_);_(* \(#,##0\);_(* &quot;-&quot;??_);_(@_)"/>
    <numFmt numFmtId="171" formatCode="0.00000"/>
    <numFmt numFmtId="172" formatCode="0.0000"/>
    <numFmt numFmtId="173" formatCode="_(* #,##0.0_);_(* \(#,##0.0\);_(* &quot;-&quot;??_);_(@_)"/>
    <numFmt numFmtId="174" formatCode="0.000"/>
    <numFmt numFmtId="175" formatCode="0.000000"/>
    <numFmt numFmtId="176" formatCode="0.0%"/>
    <numFmt numFmtId="177" formatCode="0.0"/>
    <numFmt numFmtId="178" formatCode="#,##0.0000"/>
    <numFmt numFmtId="179" formatCode="#,##0;\-#,##0;\-"/>
    <numFmt numFmtId="180" formatCode="#,##0.000;\-#,##0.000;\-"/>
    <numFmt numFmtId="181" formatCode="#,##0_ ;\-#,##0\ "/>
    <numFmt numFmtId="182" formatCode="&quot;R&quot;\ #,##0.00"/>
    <numFmt numFmtId="183" formatCode="&quot;£&quot;#,##0"/>
    <numFmt numFmtId="184" formatCode="_ [$R-1C09]\ * #,##0.00_ ;_ [$R-1C09]\ * \-#,##0.00_ ;_ [$R-1C09]\ * &quot;-&quot;??_ ;_ @_ "/>
    <numFmt numFmtId="185" formatCode="_-&quot;öS&quot;\ * #,##0.00_-;\-&quot;öS&quot;\ * #,##0.00_-;_-&quot;öS&quot;\ * &quot;-&quot;??_-;_-@_-"/>
    <numFmt numFmtId="186" formatCode="#,##0.000"/>
    <numFmt numFmtId="187" formatCode="&quot;$&quot;#,##0"/>
    <numFmt numFmtId="188" formatCode="_-[$$-409]* #,##0.00_ ;_-[$$-409]* \-#,##0.00\ ;_-[$$-409]* &quot;-&quot;??_ ;_-@_ "/>
    <numFmt numFmtId="189" formatCode="_-[$R-1C09]* #,##0.00_-;\-[$R-1C09]* #,##0.00_-;_-[$R-1C09]* &quot;-&quot;??_-;_-@_-"/>
    <numFmt numFmtId="190" formatCode="_-[$$-409]* #,##0_ ;_-[$$-409]* \-#,##0\ ;_-[$$-409]* &quot;-&quot;??_ ;_-@_ "/>
    <numFmt numFmtId="191" formatCode="_(* #,##0_);_(* \(#,##0\);_(* &quot;-&quot;_);_(@_)"/>
  </numFmts>
  <fonts count="93" x14ac:knownFonts="1">
    <font>
      <sz val="11"/>
      <color theme="1"/>
      <name val="Aptos Narrow"/>
      <family val="2"/>
      <scheme val="minor"/>
    </font>
    <font>
      <sz val="11"/>
      <color theme="1"/>
      <name val="Aptos Narrow"/>
      <family val="2"/>
      <scheme val="min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9C0006"/>
      <name val="Aptos Narrow"/>
      <family val="2"/>
      <scheme val="minor"/>
    </font>
    <font>
      <sz val="11"/>
      <color rgb="FF3F3F76"/>
      <name val="Aptos Narrow"/>
      <family val="2"/>
      <scheme val="minor"/>
    </font>
    <font>
      <sz val="11"/>
      <color rgb="FFFF0000"/>
      <name val="Aptos Narrow"/>
      <family val="2"/>
      <scheme val="minor"/>
    </font>
    <font>
      <b/>
      <sz val="11"/>
      <color theme="1"/>
      <name val="Aptos Narrow"/>
      <family val="2"/>
      <scheme val="minor"/>
    </font>
    <font>
      <u/>
      <sz val="11"/>
      <color theme="10"/>
      <name val="Aptos Narrow"/>
      <family val="2"/>
      <scheme val="minor"/>
    </font>
    <font>
      <sz val="10"/>
      <name val="Arial"/>
      <family val="2"/>
    </font>
    <font>
      <b/>
      <sz val="18"/>
      <name val="Helv"/>
    </font>
    <font>
      <sz val="10"/>
      <name val="Helv"/>
      <family val="2"/>
    </font>
    <font>
      <sz val="8"/>
      <name val="Arial"/>
      <family val="2"/>
    </font>
    <font>
      <b/>
      <sz val="10"/>
      <color indexed="8"/>
      <name val="Helv"/>
    </font>
    <font>
      <b/>
      <sz val="10"/>
      <color indexed="9"/>
      <name val="Helv"/>
    </font>
    <font>
      <b/>
      <sz val="10"/>
      <name val="Helv"/>
    </font>
    <font>
      <b/>
      <sz val="8"/>
      <color indexed="9"/>
      <name val="Helv"/>
      <family val="2"/>
    </font>
    <font>
      <b/>
      <sz val="8"/>
      <name val="Helv"/>
      <family val="2"/>
    </font>
    <font>
      <b/>
      <sz val="10"/>
      <name val="Arial"/>
      <family val="2"/>
    </font>
    <font>
      <sz val="9"/>
      <name val="Bookman Old Style"/>
      <family val="1"/>
    </font>
    <font>
      <sz val="10"/>
      <color rgb="FFFF0000"/>
      <name val="Helv"/>
      <family val="2"/>
    </font>
    <font>
      <sz val="10"/>
      <color theme="4"/>
      <name val="Helv"/>
      <family val="2"/>
    </font>
    <font>
      <sz val="10"/>
      <color rgb="FFC00000"/>
      <name val="Arial"/>
      <family val="2"/>
    </font>
    <font>
      <u/>
      <sz val="10"/>
      <color indexed="12"/>
      <name val="Arial"/>
      <family val="2"/>
    </font>
    <font>
      <sz val="9"/>
      <color rgb="FF576170"/>
      <name val="Arial"/>
      <family val="2"/>
    </font>
    <font>
      <b/>
      <sz val="9"/>
      <color indexed="81"/>
      <name val="Tahoma"/>
      <family val="2"/>
    </font>
    <font>
      <sz val="9"/>
      <color indexed="81"/>
      <name val="Tahoma"/>
      <family val="2"/>
    </font>
    <font>
      <sz val="11"/>
      <color rgb="FFFF3399"/>
      <name val="Aptos Narrow"/>
      <family val="2"/>
      <scheme val="minor"/>
    </font>
    <font>
      <sz val="10"/>
      <color theme="3"/>
      <name val="Arial"/>
      <family val="2"/>
    </font>
    <font>
      <sz val="11"/>
      <name val="Aptos Narrow"/>
      <family val="2"/>
      <scheme val="minor"/>
    </font>
    <font>
      <sz val="11"/>
      <color rgb="FFFF0066"/>
      <name val="Aptos Narrow"/>
      <family val="2"/>
      <scheme val="minor"/>
    </font>
    <font>
      <sz val="11"/>
      <color rgb="FFC00000"/>
      <name val="Aptos Narrow"/>
      <family val="2"/>
      <scheme val="minor"/>
    </font>
    <font>
      <b/>
      <sz val="8"/>
      <color indexed="81"/>
      <name val="Tahoma"/>
      <family val="2"/>
    </font>
    <font>
      <sz val="12"/>
      <color indexed="81"/>
      <name val="Tahoma"/>
      <family val="2"/>
    </font>
    <font>
      <sz val="8"/>
      <color indexed="81"/>
      <name val="Tahoma"/>
      <family val="2"/>
    </font>
    <font>
      <i/>
      <sz val="8"/>
      <color indexed="81"/>
      <name val="Tahoma"/>
      <family val="2"/>
    </font>
    <font>
      <i/>
      <sz val="9"/>
      <color indexed="81"/>
      <name val="Tahoma"/>
      <family val="2"/>
    </font>
    <font>
      <b/>
      <sz val="11"/>
      <color theme="8"/>
      <name val="Aptos Narrow"/>
      <family val="2"/>
      <scheme val="minor"/>
    </font>
    <font>
      <sz val="11"/>
      <color theme="8"/>
      <name val="Aptos Narrow"/>
      <family val="2"/>
      <scheme val="minor"/>
    </font>
    <font>
      <sz val="11"/>
      <color theme="4"/>
      <name val="Aptos Narrow"/>
      <family val="2"/>
      <scheme val="minor"/>
    </font>
    <font>
      <i/>
      <sz val="11"/>
      <name val="Aptos Narrow"/>
      <family val="2"/>
      <scheme val="minor"/>
    </font>
    <font>
      <i/>
      <sz val="11"/>
      <color theme="1"/>
      <name val="Aptos Narrow"/>
      <family val="2"/>
      <scheme val="minor"/>
    </font>
    <font>
      <sz val="11"/>
      <color theme="8" tint="-0.499984740745262"/>
      <name val="Aptos Narrow"/>
      <family val="2"/>
      <scheme val="minor"/>
    </font>
    <font>
      <b/>
      <sz val="11"/>
      <color rgb="FF3F3F3F"/>
      <name val="Aptos Narrow"/>
      <family val="2"/>
      <scheme val="minor"/>
    </font>
    <font>
      <b/>
      <sz val="11"/>
      <color rgb="FFFA7D00"/>
      <name val="Aptos Narrow"/>
      <family val="2"/>
      <scheme val="minor"/>
    </font>
    <font>
      <sz val="11"/>
      <color theme="4" tint="-0.249977111117893"/>
      <name val="Aptos Narrow"/>
      <family val="2"/>
      <scheme val="minor"/>
    </font>
    <font>
      <sz val="11"/>
      <color theme="5" tint="-0.249977111117893"/>
      <name val="Aptos Narrow"/>
      <family val="2"/>
      <scheme val="minor"/>
    </font>
    <font>
      <sz val="11"/>
      <color rgb="FF9C6500"/>
      <name val="Aptos Narrow"/>
      <family val="2"/>
      <scheme val="minor"/>
    </font>
    <font>
      <sz val="8"/>
      <color rgb="FF414445"/>
      <name val="Arial"/>
      <family val="2"/>
    </font>
    <font>
      <b/>
      <sz val="12"/>
      <color indexed="81"/>
      <name val="Tahoma"/>
      <family val="2"/>
    </font>
    <font>
      <sz val="14"/>
      <color indexed="81"/>
      <name val="Tahoma"/>
      <family val="2"/>
    </font>
    <font>
      <sz val="10"/>
      <color indexed="81"/>
      <name val="Tahoma"/>
      <family val="2"/>
    </font>
    <font>
      <b/>
      <sz val="11"/>
      <color theme="4"/>
      <name val="Aptos Narrow"/>
      <family val="2"/>
      <scheme val="minor"/>
    </font>
    <font>
      <sz val="11"/>
      <color theme="5"/>
      <name val="Aptos Narrow"/>
      <family val="2"/>
      <scheme val="minor"/>
    </font>
    <font>
      <b/>
      <sz val="12"/>
      <color rgb="FFC00000"/>
      <name val="Aptos Narrow"/>
      <family val="2"/>
      <scheme val="minor"/>
    </font>
    <font>
      <b/>
      <sz val="11"/>
      <color theme="4" tint="-0.249977111117893"/>
      <name val="Aptos Narrow"/>
      <family val="2"/>
      <scheme val="minor"/>
    </font>
    <font>
      <sz val="11"/>
      <color theme="3"/>
      <name val="Aptos Narrow"/>
      <family val="2"/>
      <scheme val="minor"/>
    </font>
    <font>
      <sz val="10"/>
      <color rgb="FF000000"/>
      <name val="Times New Roman"/>
      <family val="1"/>
    </font>
    <font>
      <sz val="10"/>
      <color rgb="FF000000"/>
      <name val="Calibri"/>
      <family val="2"/>
    </font>
    <font>
      <sz val="12"/>
      <color rgb="FF7030A0"/>
      <name val="Calibri"/>
      <family val="2"/>
    </font>
    <font>
      <b/>
      <sz val="10"/>
      <color rgb="FF0066AA"/>
      <name val="Arial"/>
      <family val="2"/>
    </font>
    <font>
      <sz val="11"/>
      <color theme="1"/>
      <name val="Calibri"/>
      <family val="2"/>
    </font>
    <font>
      <sz val="11"/>
      <color rgb="FF3F3F3F"/>
      <name val="Calibri"/>
      <family val="2"/>
    </font>
    <font>
      <sz val="9"/>
      <color theme="1"/>
      <name val="Arial"/>
      <family val="2"/>
    </font>
    <font>
      <sz val="9"/>
      <name val="Arial"/>
      <family val="2"/>
    </font>
    <font>
      <sz val="10"/>
      <color rgb="FFFF0066"/>
      <name val="Calibri"/>
      <family val="2"/>
    </font>
    <font>
      <sz val="10"/>
      <color rgb="FFFF0000"/>
      <name val="Calibri"/>
      <family val="2"/>
    </font>
    <font>
      <sz val="9"/>
      <color theme="1"/>
      <name val="Calibri"/>
      <family val="2"/>
    </font>
    <font>
      <b/>
      <sz val="10"/>
      <color theme="0"/>
      <name val="Arial"/>
      <family val="2"/>
    </font>
    <font>
      <sz val="10"/>
      <color theme="0"/>
      <name val="Calibri"/>
      <family val="2"/>
    </font>
    <font>
      <b/>
      <sz val="9"/>
      <name val="Arial"/>
      <family val="2"/>
    </font>
    <font>
      <sz val="9"/>
      <color rgb="FF000000"/>
      <name val="Arial"/>
      <family val="2"/>
    </font>
    <font>
      <b/>
      <sz val="9"/>
      <color theme="1"/>
      <name val="Arial"/>
      <family val="2"/>
    </font>
    <font>
      <b/>
      <sz val="9"/>
      <color theme="8"/>
      <name val="Arial"/>
      <family val="2"/>
    </font>
    <font>
      <b/>
      <sz val="10"/>
      <color theme="8"/>
      <name val="Arial"/>
      <family val="2"/>
    </font>
    <font>
      <sz val="9"/>
      <color rgb="FF008000"/>
      <name val="Arial"/>
      <family val="2"/>
    </font>
    <font>
      <sz val="10"/>
      <color theme="8"/>
      <name val="Times New Roman"/>
      <family val="1"/>
    </font>
    <font>
      <sz val="9"/>
      <color theme="8"/>
      <name val="Arial"/>
      <family val="2"/>
    </font>
    <font>
      <sz val="10"/>
      <name val="Times New Roman"/>
      <family val="1"/>
    </font>
    <font>
      <sz val="7"/>
      <color rgb="FF000000"/>
      <name val="Arial"/>
      <family val="2"/>
    </font>
    <font>
      <sz val="9"/>
      <color rgb="FFFF0000"/>
      <name val="Arial"/>
      <family val="2"/>
    </font>
    <font>
      <b/>
      <sz val="9"/>
      <color theme="0"/>
      <name val="Arial"/>
      <family val="2"/>
    </font>
    <font>
      <sz val="10"/>
      <color theme="1"/>
      <name val="Arial"/>
      <family val="2"/>
    </font>
    <font>
      <sz val="8"/>
      <name val="Aptos Narrow"/>
      <family val="2"/>
      <scheme val="minor"/>
    </font>
    <font>
      <sz val="10"/>
      <color theme="5" tint="-0.249977111117893"/>
      <name val="Times New Roman"/>
      <family val="1"/>
    </font>
    <font>
      <b/>
      <sz val="10"/>
      <color theme="1"/>
      <name val="Calibri"/>
      <family val="2"/>
    </font>
    <font>
      <u/>
      <sz val="11"/>
      <color theme="10"/>
      <name val="Calibri"/>
      <family val="2"/>
    </font>
    <font>
      <sz val="11"/>
      <color theme="0"/>
      <name val="Aptos Narrow"/>
      <family val="2"/>
      <scheme val="minor"/>
    </font>
    <font>
      <b/>
      <sz val="10"/>
      <color rgb="FF000000"/>
      <name val="Times New Roman"/>
      <family val="1"/>
    </font>
    <font>
      <b/>
      <sz val="11"/>
      <color theme="3"/>
      <name val="Calibri"/>
      <family val="2"/>
    </font>
    <font>
      <sz val="11"/>
      <color theme="7"/>
      <name val="Aptos Narrow"/>
      <family val="2"/>
      <scheme val="minor"/>
    </font>
    <font>
      <sz val="11"/>
      <color theme="7"/>
      <name val="Calibri"/>
      <family val="2"/>
    </font>
  </fonts>
  <fills count="43">
    <fill>
      <patternFill patternType="none"/>
    </fill>
    <fill>
      <patternFill patternType="gray125"/>
    </fill>
    <fill>
      <patternFill patternType="solid">
        <fgColor rgb="FFFFC7CE"/>
      </patternFill>
    </fill>
    <fill>
      <patternFill patternType="solid">
        <fgColor rgb="FFFFCC99"/>
      </patternFill>
    </fill>
    <fill>
      <patternFill patternType="solid">
        <fgColor rgb="FFFFFFCC"/>
      </patternFill>
    </fill>
    <fill>
      <patternFill patternType="solid">
        <fgColor indexed="31"/>
        <bgColor indexed="64"/>
      </patternFill>
    </fill>
    <fill>
      <patternFill patternType="solid">
        <fgColor indexed="10"/>
        <bgColor indexed="64"/>
      </patternFill>
    </fill>
    <fill>
      <patternFill patternType="solid">
        <fgColor indexed="60"/>
        <bgColor indexed="64"/>
      </patternFill>
    </fill>
    <fill>
      <patternFill patternType="solid">
        <fgColor indexed="45"/>
        <bgColor indexed="64"/>
      </patternFill>
    </fill>
    <fill>
      <patternFill patternType="solid">
        <fgColor indexed="22"/>
        <bgColor indexed="64"/>
      </patternFill>
    </fill>
    <fill>
      <patternFill patternType="solid">
        <fgColor indexed="11"/>
        <bgColor indexed="64"/>
      </patternFill>
    </fill>
    <fill>
      <patternFill patternType="solid">
        <fgColor indexed="40"/>
        <bgColor indexed="64"/>
      </patternFill>
    </fill>
    <fill>
      <patternFill patternType="solid">
        <fgColor indexed="15"/>
        <bgColor indexed="64"/>
      </patternFill>
    </fill>
    <fill>
      <patternFill patternType="solid">
        <fgColor indexed="35"/>
        <bgColor indexed="64"/>
      </patternFill>
    </fill>
    <fill>
      <patternFill patternType="solid">
        <fgColor indexed="19"/>
        <bgColor indexed="64"/>
      </patternFill>
    </fill>
    <fill>
      <patternFill patternType="solid">
        <fgColor indexed="9"/>
        <bgColor indexed="64"/>
      </patternFill>
    </fill>
    <fill>
      <patternFill patternType="solid">
        <fgColor indexed="43"/>
        <bgColor indexed="64"/>
      </patternFill>
    </fill>
    <fill>
      <patternFill patternType="solid">
        <fgColor indexed="65"/>
        <bgColor indexed="64"/>
      </patternFill>
    </fill>
    <fill>
      <patternFill patternType="solid">
        <fgColor theme="2"/>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theme="4" tint="0.39997558519241921"/>
        <bgColor indexed="64"/>
      </patternFill>
    </fill>
    <fill>
      <patternFill patternType="solid">
        <fgColor theme="7" tint="0.39997558519241921"/>
        <bgColor indexed="64"/>
      </patternFill>
    </fill>
    <fill>
      <patternFill patternType="solid">
        <fgColor theme="0"/>
        <bgColor indexed="64"/>
      </patternFill>
    </fill>
    <fill>
      <patternFill patternType="solid">
        <fgColor theme="5"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EB9C"/>
      </patternFill>
    </fill>
    <fill>
      <patternFill patternType="solid">
        <fgColor rgb="FFF2F2F2"/>
      </patternFill>
    </fill>
    <fill>
      <patternFill patternType="solid">
        <fgColor theme="5" tint="0.79998168889431442"/>
        <bgColor indexed="65"/>
      </patternFill>
    </fill>
    <fill>
      <patternFill patternType="solid">
        <fgColor theme="9" tint="0.39997558519241921"/>
        <bgColor indexed="64"/>
      </patternFill>
    </fill>
    <fill>
      <patternFill patternType="solid">
        <fgColor theme="0" tint="-0.14999847407452621"/>
        <bgColor indexed="64"/>
      </patternFill>
    </fill>
    <fill>
      <patternFill patternType="solid">
        <fgColor rgb="FF00FF00"/>
        <bgColor indexed="64"/>
      </patternFill>
    </fill>
    <fill>
      <patternFill patternType="solid">
        <fgColor rgb="FFFFCC99"/>
        <bgColor indexed="64"/>
      </patternFill>
    </fill>
    <fill>
      <patternFill patternType="solid">
        <fgColor rgb="FFE4F8E7"/>
        <bgColor indexed="64"/>
      </patternFill>
    </fill>
    <fill>
      <patternFill patternType="solid">
        <fgColor rgb="FFDFF4FD"/>
        <bgColor indexed="64"/>
      </patternFill>
    </fill>
    <fill>
      <patternFill patternType="solid">
        <fgColor rgb="FFFFFFCC"/>
        <bgColor indexed="64"/>
      </patternFill>
    </fill>
    <fill>
      <patternFill patternType="solid">
        <fgColor rgb="FF008000"/>
        <bgColor indexed="64"/>
      </patternFill>
    </fill>
    <fill>
      <patternFill patternType="solid">
        <fgColor theme="0" tint="-0.249977111117893"/>
        <bgColor indexed="64"/>
      </patternFill>
    </fill>
    <fill>
      <patternFill patternType="solid">
        <fgColor theme="0" tint="-0.499984740745262"/>
        <bgColor indexed="64"/>
      </patternFill>
    </fill>
    <fill>
      <patternFill patternType="solid">
        <fgColor rgb="FFF9E7F7"/>
        <bgColor indexed="64"/>
      </patternFill>
    </fill>
    <fill>
      <patternFill patternType="solid">
        <fgColor rgb="FFAFEAFF"/>
        <bgColor indexed="64"/>
      </patternFill>
    </fill>
    <fill>
      <patternFill patternType="solid">
        <fgColor theme="7" tint="0.79998168889431442"/>
        <bgColor indexed="64"/>
      </patternFill>
    </fill>
  </fills>
  <borders count="7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style="thin">
        <color indexed="64"/>
      </right>
      <top style="thin">
        <color indexed="64"/>
      </top>
      <bottom style="thin">
        <color indexed="64"/>
      </bottom>
      <diagonal/>
    </border>
    <border>
      <left style="thin">
        <color rgb="FF7F7F7F"/>
      </left>
      <right/>
      <top style="thin">
        <color rgb="FF7F7F7F"/>
      </top>
      <bottom style="thin">
        <color rgb="FF7F7F7F"/>
      </bottom>
      <diagonal/>
    </border>
    <border>
      <left style="thin">
        <color indexed="64"/>
      </left>
      <right/>
      <top style="thin">
        <color auto="1"/>
      </top>
      <bottom/>
      <diagonal/>
    </border>
    <border>
      <left/>
      <right/>
      <top style="thin">
        <color auto="1"/>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rgb="FFB2B2B2"/>
      </left>
      <right style="thin">
        <color rgb="FFB2B2B2"/>
      </right>
      <top style="thin">
        <color rgb="FFB2B2B2"/>
      </top>
      <bottom/>
      <diagonal/>
    </border>
    <border>
      <left style="thin">
        <color rgb="FF7F7F7F"/>
      </left>
      <right style="thin">
        <color rgb="FF7F7F7F"/>
      </right>
      <top style="thin">
        <color rgb="FF7F7F7F"/>
      </top>
      <bottom/>
      <diagonal/>
    </border>
    <border>
      <left style="thin">
        <color rgb="FF7F7F7F"/>
      </left>
      <right/>
      <top style="thin">
        <color rgb="FF7F7F7F"/>
      </top>
      <bottom/>
      <diagonal/>
    </border>
    <border>
      <left style="thin">
        <color rgb="FF7F7F7F"/>
      </left>
      <right style="thin">
        <color rgb="FF7F7F7F"/>
      </right>
      <top/>
      <bottom/>
      <diagonal/>
    </border>
    <border>
      <left style="medium">
        <color auto="1"/>
      </left>
      <right/>
      <top style="medium">
        <color auto="1"/>
      </top>
      <bottom/>
      <diagonal/>
    </border>
    <border>
      <left/>
      <right/>
      <top style="medium">
        <color indexed="64"/>
      </top>
      <bottom/>
      <diagonal/>
    </border>
    <border>
      <left/>
      <right style="medium">
        <color auto="1"/>
      </right>
      <top style="medium">
        <color auto="1"/>
      </top>
      <bottom/>
      <diagonal/>
    </border>
    <border>
      <left style="medium">
        <color indexed="64"/>
      </left>
      <right style="thin">
        <color rgb="FF7F7F7F"/>
      </right>
      <top style="thin">
        <color rgb="FF7F7F7F"/>
      </top>
      <bottom style="thin">
        <color rgb="FF7F7F7F"/>
      </bottom>
      <diagonal/>
    </border>
    <border>
      <left/>
      <right style="medium">
        <color auto="1"/>
      </right>
      <top/>
      <bottom/>
      <diagonal/>
    </border>
    <border>
      <left style="medium">
        <color rgb="FFFF0000"/>
      </left>
      <right/>
      <top style="medium">
        <color rgb="FFFF0000"/>
      </top>
      <bottom/>
      <diagonal/>
    </border>
    <border>
      <left/>
      <right/>
      <top style="medium">
        <color rgb="FFFF0000"/>
      </top>
      <bottom/>
      <diagonal/>
    </border>
    <border>
      <left/>
      <right style="medium">
        <color rgb="FFFF0000"/>
      </right>
      <top style="medium">
        <color rgb="FFFF0000"/>
      </top>
      <bottom/>
      <diagonal/>
    </border>
    <border>
      <left style="thin">
        <color rgb="FFFF0000"/>
      </left>
      <right/>
      <top/>
      <bottom/>
      <diagonal/>
    </border>
    <border>
      <left/>
      <right style="thin">
        <color rgb="FFFF0000"/>
      </right>
      <top/>
      <bottom/>
      <diagonal/>
    </border>
    <border>
      <left style="medium">
        <color rgb="FFFF0000"/>
      </left>
      <right/>
      <top/>
      <bottom/>
      <diagonal/>
    </border>
    <border>
      <left/>
      <right style="medium">
        <color rgb="FFFF0000"/>
      </right>
      <top/>
      <bottom/>
      <diagonal/>
    </border>
    <border>
      <left style="medium">
        <color rgb="FFFF0000"/>
      </left>
      <right/>
      <top/>
      <bottom style="medium">
        <color rgb="FFFF0000"/>
      </bottom>
      <diagonal/>
    </border>
    <border>
      <left/>
      <right/>
      <top/>
      <bottom style="medium">
        <color rgb="FFFF0000"/>
      </bottom>
      <diagonal/>
    </border>
    <border>
      <left/>
      <right style="medium">
        <color rgb="FFFF0000"/>
      </right>
      <top/>
      <bottom style="medium">
        <color rgb="FFFF0000"/>
      </bottom>
      <diagonal/>
    </border>
    <border>
      <left style="thin">
        <color rgb="FFFF0000"/>
      </left>
      <right/>
      <top/>
      <bottom style="thin">
        <color rgb="FFFF0000"/>
      </bottom>
      <diagonal/>
    </border>
    <border>
      <left/>
      <right/>
      <top/>
      <bottom style="thin">
        <color rgb="FFFF0000"/>
      </bottom>
      <diagonal/>
    </border>
    <border>
      <left/>
      <right style="thin">
        <color rgb="FFFF0000"/>
      </right>
      <top/>
      <bottom style="thin">
        <color rgb="FFFF0000"/>
      </bottom>
      <diagonal/>
    </border>
    <border>
      <left style="medium">
        <color auto="1"/>
      </left>
      <right/>
      <top/>
      <bottom/>
      <diagonal/>
    </border>
    <border>
      <left style="medium">
        <color auto="1"/>
      </left>
      <right/>
      <top/>
      <bottom style="medium">
        <color auto="1"/>
      </bottom>
      <diagonal/>
    </border>
    <border>
      <left/>
      <right/>
      <top/>
      <bottom style="medium">
        <color indexed="64"/>
      </bottom>
      <diagonal/>
    </border>
    <border>
      <left/>
      <right style="medium">
        <color auto="1"/>
      </right>
      <top/>
      <bottom style="medium">
        <color auto="1"/>
      </bottom>
      <diagonal/>
    </border>
    <border>
      <left style="thin">
        <color indexed="64"/>
      </left>
      <right style="thin">
        <color indexed="64"/>
      </right>
      <top/>
      <bottom style="thin">
        <color indexed="64"/>
      </bottom>
      <diagonal/>
    </border>
    <border>
      <left style="thin">
        <color rgb="FF3F3F3F"/>
      </left>
      <right style="thin">
        <color rgb="FF3F3F3F"/>
      </right>
      <top style="thin">
        <color rgb="FF3F3F3F"/>
      </top>
      <bottom style="thin">
        <color rgb="FF3F3F3F"/>
      </bottom>
      <diagonal/>
    </border>
    <border>
      <left style="thin">
        <color indexed="64"/>
      </left>
      <right/>
      <top/>
      <bottom/>
      <diagonal/>
    </border>
    <border>
      <left style="medium">
        <color auto="1"/>
      </left>
      <right style="medium">
        <color auto="1"/>
      </right>
      <top style="medium">
        <color auto="1"/>
      </top>
      <bottom/>
      <diagonal/>
    </border>
    <border>
      <left style="thick">
        <color theme="3" tint="0.39997558519241921"/>
      </left>
      <right/>
      <top style="thick">
        <color theme="3" tint="0.39997558519241921"/>
      </top>
      <bottom/>
      <diagonal/>
    </border>
    <border>
      <left/>
      <right style="thick">
        <color theme="3" tint="0.39997558519241921"/>
      </right>
      <top style="thick">
        <color theme="3" tint="0.39997558519241921"/>
      </top>
      <bottom/>
      <diagonal/>
    </border>
    <border>
      <left style="medium">
        <color auto="1"/>
      </left>
      <right style="medium">
        <color auto="1"/>
      </right>
      <top/>
      <bottom/>
      <diagonal/>
    </border>
    <border>
      <left style="thick">
        <color theme="3" tint="0.39997558519241921"/>
      </left>
      <right/>
      <top/>
      <bottom/>
      <diagonal/>
    </border>
    <border>
      <left/>
      <right style="thick">
        <color theme="3" tint="0.39997558519241921"/>
      </right>
      <top/>
      <bottom/>
      <diagonal/>
    </border>
    <border>
      <left style="medium">
        <color indexed="64"/>
      </left>
      <right style="thin">
        <color indexed="64"/>
      </right>
      <top style="thin">
        <color indexed="64"/>
      </top>
      <bottom style="thin">
        <color indexed="64"/>
      </bottom>
      <diagonal/>
    </border>
    <border>
      <left style="medium">
        <color auto="1"/>
      </left>
      <right style="medium">
        <color auto="1"/>
      </right>
      <top/>
      <bottom style="medium">
        <color auto="1"/>
      </bottom>
      <diagonal/>
    </border>
    <border>
      <left style="thick">
        <color theme="3" tint="0.39997558519241921"/>
      </left>
      <right/>
      <top/>
      <bottom style="thick">
        <color theme="3" tint="0.39997558519241921"/>
      </bottom>
      <diagonal/>
    </border>
    <border>
      <left/>
      <right style="thick">
        <color theme="3" tint="0.39997558519241921"/>
      </right>
      <top/>
      <bottom style="thick">
        <color theme="3" tint="0.39997558519241921"/>
      </bottom>
      <diagonal/>
    </border>
    <border>
      <left style="thick">
        <color rgb="FFFF0066"/>
      </left>
      <right/>
      <top style="thick">
        <color rgb="FFFF0066"/>
      </top>
      <bottom/>
      <diagonal/>
    </border>
    <border>
      <left/>
      <right/>
      <top style="thick">
        <color rgb="FFFF0066"/>
      </top>
      <bottom/>
      <diagonal/>
    </border>
    <border>
      <left/>
      <right style="thick">
        <color rgb="FFFF0066"/>
      </right>
      <top style="thick">
        <color rgb="FFFF0066"/>
      </top>
      <bottom/>
      <diagonal/>
    </border>
    <border>
      <left style="thick">
        <color rgb="FFFF0066"/>
      </left>
      <right/>
      <top style="thick">
        <color rgb="FF7030A0"/>
      </top>
      <bottom/>
      <diagonal/>
    </border>
    <border>
      <left/>
      <right/>
      <top style="thick">
        <color rgb="FF7030A0"/>
      </top>
      <bottom/>
      <diagonal/>
    </border>
    <border>
      <left/>
      <right style="thick">
        <color rgb="FF7030A0"/>
      </right>
      <top style="thick">
        <color rgb="FF7030A0"/>
      </top>
      <bottom/>
      <diagonal/>
    </border>
    <border>
      <left style="thick">
        <color rgb="FFFF0066"/>
      </left>
      <right/>
      <top/>
      <bottom/>
      <diagonal/>
    </border>
    <border>
      <left/>
      <right style="thick">
        <color rgb="FFFF0066"/>
      </right>
      <top/>
      <bottom/>
      <diagonal/>
    </border>
    <border>
      <left/>
      <right style="thick">
        <color rgb="FF7030A0"/>
      </right>
      <top/>
      <bottom/>
      <diagonal/>
    </border>
    <border>
      <left style="thick">
        <color rgb="FFFF0066"/>
      </left>
      <right style="thin">
        <color indexed="64"/>
      </right>
      <top style="thin">
        <color indexed="64"/>
      </top>
      <bottom style="thin">
        <color indexed="64"/>
      </bottom>
      <diagonal/>
    </border>
    <border>
      <left style="thick">
        <color rgb="FFFF0066"/>
      </left>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ck">
        <color rgb="FFFF0066"/>
      </right>
      <top style="thin">
        <color indexed="64"/>
      </top>
      <bottom style="thin">
        <color indexed="64"/>
      </bottom>
      <diagonal/>
    </border>
    <border>
      <left style="thick">
        <color rgb="FFFF0066"/>
      </left>
      <right style="thin">
        <color indexed="64"/>
      </right>
      <top/>
      <bottom style="thin">
        <color indexed="64"/>
      </bottom>
      <diagonal/>
    </border>
    <border>
      <left style="thin">
        <color indexed="64"/>
      </left>
      <right style="thick">
        <color rgb="FFFF0066"/>
      </right>
      <top/>
      <bottom style="thin">
        <color indexed="64"/>
      </bottom>
      <diagonal/>
    </border>
    <border>
      <left style="thick">
        <color rgb="FFFF0066"/>
      </left>
      <right/>
      <top style="medium">
        <color indexed="64"/>
      </top>
      <bottom/>
      <diagonal/>
    </border>
    <border>
      <left/>
      <right style="thick">
        <color rgb="FF7030A0"/>
      </right>
      <top style="medium">
        <color auto="1"/>
      </top>
      <bottom/>
      <diagonal/>
    </border>
    <border>
      <left style="thin">
        <color indexed="64"/>
      </left>
      <right style="thick">
        <color rgb="FFFF0066"/>
      </right>
      <top style="thin">
        <color auto="1"/>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ck">
        <color rgb="FFFF0066"/>
      </left>
      <right/>
      <top/>
      <bottom style="thick">
        <color rgb="FFFF0066"/>
      </bottom>
      <diagonal/>
    </border>
    <border>
      <left/>
      <right/>
      <top/>
      <bottom style="thick">
        <color rgb="FFFF0066"/>
      </bottom>
      <diagonal/>
    </border>
    <border>
      <left/>
      <right style="thick">
        <color rgb="FFFF0066"/>
      </right>
      <top/>
      <bottom style="thick">
        <color rgb="FFFF0066"/>
      </bottom>
      <diagonal/>
    </border>
    <border>
      <left style="thick">
        <color rgb="FFFF0066"/>
      </left>
      <right/>
      <top/>
      <bottom style="thick">
        <color rgb="FF7030A0"/>
      </bottom>
      <diagonal/>
    </border>
    <border>
      <left/>
      <right/>
      <top/>
      <bottom style="thick">
        <color rgb="FF7030A0"/>
      </bottom>
      <diagonal/>
    </border>
    <border>
      <left/>
      <right style="thick">
        <color rgb="FF7030A0"/>
      </right>
      <top/>
      <bottom style="thick">
        <color rgb="FF7030A0"/>
      </bottom>
      <diagonal/>
    </border>
  </borders>
  <cellStyleXfs count="86">
    <xf numFmtId="0" fontId="0" fillId="0" borderId="0"/>
    <xf numFmtId="9" fontId="1" fillId="0" borderId="0" applyFont="0" applyFill="0" applyBorder="0" applyAlignment="0" applyProtection="0"/>
    <xf numFmtId="0" fontId="2" fillId="0" borderId="1" applyNumberFormat="0" applyFill="0" applyAlignment="0" applyProtection="0"/>
    <xf numFmtId="0" fontId="3" fillId="0" borderId="2" applyNumberFormat="0" applyFill="0" applyAlignment="0" applyProtection="0"/>
    <xf numFmtId="0" fontId="4" fillId="0" borderId="3" applyNumberFormat="0" applyFill="0" applyAlignment="0" applyProtection="0"/>
    <xf numFmtId="0" fontId="4" fillId="0" borderId="0" applyNumberFormat="0" applyFill="0" applyBorder="0" applyAlignment="0" applyProtection="0"/>
    <xf numFmtId="0" fontId="9" fillId="0" borderId="0" applyNumberFormat="0" applyFill="0" applyBorder="0" applyAlignment="0" applyProtection="0"/>
    <xf numFmtId="0" fontId="10" fillId="0" borderId="0"/>
    <xf numFmtId="0" fontId="10" fillId="0" borderId="0"/>
    <xf numFmtId="165" fontId="10" fillId="0" borderId="0" applyFont="0" applyFill="0" applyBorder="0" applyAlignment="0" applyProtection="0"/>
    <xf numFmtId="166" fontId="1" fillId="0" borderId="0"/>
    <xf numFmtId="166" fontId="24" fillId="0" borderId="0" applyNumberFormat="0" applyFill="0" applyBorder="0" applyAlignment="0" applyProtection="0">
      <alignment vertical="top"/>
      <protection locked="0"/>
    </xf>
    <xf numFmtId="166" fontId="2" fillId="0" borderId="1" applyNumberFormat="0" applyFill="0" applyAlignment="0" applyProtection="0"/>
    <xf numFmtId="166" fontId="4" fillId="0" borderId="3" applyNumberFormat="0" applyFill="0" applyAlignment="0" applyProtection="0"/>
    <xf numFmtId="0" fontId="1" fillId="0" borderId="0"/>
    <xf numFmtId="165" fontId="1" fillId="0" borderId="0" applyFont="0" applyFill="0" applyBorder="0" applyAlignment="0" applyProtection="0"/>
    <xf numFmtId="169" fontId="1" fillId="0" borderId="0" applyFont="0" applyFill="0" applyBorder="0" applyAlignment="0" applyProtection="0"/>
    <xf numFmtId="0" fontId="1" fillId="0" borderId="0"/>
    <xf numFmtId="166" fontId="1" fillId="4" borderId="5" applyNumberFormat="0" applyFont="0" applyAlignment="0" applyProtection="0"/>
    <xf numFmtId="166" fontId="6" fillId="3" borderId="4" applyNumberFormat="0" applyAlignment="0" applyProtection="0"/>
    <xf numFmtId="166" fontId="1" fillId="0" borderId="0"/>
    <xf numFmtId="166" fontId="5" fillId="2" borderId="0" applyNumberFormat="0" applyBorder="0" applyAlignment="0" applyProtection="0"/>
    <xf numFmtId="166" fontId="1" fillId="0" borderId="0"/>
    <xf numFmtId="166" fontId="48" fillId="27" borderId="0" applyNumberFormat="0" applyBorder="0" applyAlignment="0" applyProtection="0"/>
    <xf numFmtId="166" fontId="45" fillId="28" borderId="4" applyNumberFormat="0" applyAlignment="0" applyProtection="0"/>
    <xf numFmtId="166" fontId="6" fillId="33" borderId="4" applyNumberFormat="0" applyAlignment="0" applyProtection="0"/>
    <xf numFmtId="166" fontId="44" fillId="28" borderId="41" applyNumberFormat="0" applyAlignment="0" applyProtection="0"/>
    <xf numFmtId="166" fontId="1" fillId="29" borderId="0" applyNumberFormat="0" applyBorder="0" applyAlignment="0" applyProtection="0"/>
    <xf numFmtId="0" fontId="58" fillId="0" borderId="0"/>
    <xf numFmtId="0" fontId="64" fillId="0" borderId="0"/>
    <xf numFmtId="9" fontId="58" fillId="0" borderId="0" applyFont="0" applyFill="0" applyBorder="0" applyAlignment="0" applyProtection="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166" fontId="1" fillId="0" borderId="0"/>
    <xf numFmtId="185" fontId="79" fillId="0" borderId="0" applyFont="0" applyFill="0" applyBorder="0" applyAlignment="0" applyProtection="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2" fillId="0" borderId="0"/>
    <xf numFmtId="0" fontId="87" fillId="0" borderId="0" applyNumberFormat="0" applyFill="0" applyBorder="0" applyAlignment="0" applyProtection="0"/>
    <xf numFmtId="9" fontId="62" fillId="0" borderId="0" applyFont="0" applyFill="0" applyBorder="0" applyAlignment="0" applyProtection="0"/>
    <xf numFmtId="166" fontId="1" fillId="0" borderId="0"/>
  </cellStyleXfs>
  <cellXfs count="739">
    <xf numFmtId="0" fontId="0" fillId="0" borderId="0" xfId="0"/>
    <xf numFmtId="0" fontId="3" fillId="0" borderId="2" xfId="3"/>
    <xf numFmtId="0" fontId="4" fillId="0" borderId="3" xfId="4"/>
    <xf numFmtId="0" fontId="11" fillId="5" borderId="0" xfId="7" applyFont="1" applyFill="1"/>
    <xf numFmtId="0" fontId="10" fillId="5" borderId="0" xfId="7" applyFill="1"/>
    <xf numFmtId="0" fontId="12" fillId="5" borderId="0" xfId="7" applyFont="1" applyFill="1"/>
    <xf numFmtId="0" fontId="13" fillId="0" borderId="0" xfId="7" applyFont="1" applyAlignment="1">
      <alignment wrapText="1"/>
    </xf>
    <xf numFmtId="0" fontId="13" fillId="0" borderId="0" xfId="7" applyFont="1" applyAlignment="1">
      <alignment vertical="center" wrapText="1"/>
    </xf>
    <xf numFmtId="0" fontId="14" fillId="6" borderId="0" xfId="7" applyFont="1" applyFill="1"/>
    <xf numFmtId="2" fontId="15" fillId="7" borderId="0" xfId="7" applyNumberFormat="1" applyFont="1" applyFill="1" applyAlignment="1">
      <alignment horizontal="left"/>
    </xf>
    <xf numFmtId="2" fontId="15" fillId="8" borderId="0" xfId="7" applyNumberFormat="1" applyFont="1" applyFill="1" applyAlignment="1">
      <alignment horizontal="left"/>
    </xf>
    <xf numFmtId="2" fontId="16" fillId="5" borderId="0" xfId="7" applyNumberFormat="1" applyFont="1" applyFill="1" applyAlignment="1">
      <alignment horizontal="left"/>
    </xf>
    <xf numFmtId="2" fontId="16" fillId="9" borderId="0" xfId="7" applyNumberFormat="1" applyFont="1" applyFill="1" applyAlignment="1">
      <alignment horizontal="left"/>
    </xf>
    <xf numFmtId="2" fontId="16" fillId="10" borderId="0" xfId="7" applyNumberFormat="1" applyFont="1" applyFill="1" applyAlignment="1">
      <alignment horizontal="left"/>
    </xf>
    <xf numFmtId="2" fontId="16" fillId="11" borderId="0" xfId="7" applyNumberFormat="1" applyFont="1" applyFill="1" applyAlignment="1">
      <alignment horizontal="left"/>
    </xf>
    <xf numFmtId="2" fontId="16" fillId="12" borderId="0" xfId="7" applyNumberFormat="1" applyFont="1" applyFill="1" applyAlignment="1">
      <alignment horizontal="left"/>
    </xf>
    <xf numFmtId="2" fontId="16" fillId="13" borderId="0" xfId="7" applyNumberFormat="1" applyFont="1" applyFill="1" applyAlignment="1">
      <alignment horizontal="left"/>
    </xf>
    <xf numFmtId="2" fontId="15" fillId="14" borderId="0" xfId="7" applyNumberFormat="1" applyFont="1" applyFill="1" applyAlignment="1">
      <alignment horizontal="left"/>
    </xf>
    <xf numFmtId="0" fontId="10" fillId="0" borderId="0" xfId="7"/>
    <xf numFmtId="0" fontId="12" fillId="6" borderId="0" xfId="7" applyFont="1" applyFill="1"/>
    <xf numFmtId="2" fontId="16" fillId="14" borderId="0" xfId="7" applyNumberFormat="1" applyFont="1" applyFill="1" applyAlignment="1">
      <alignment horizontal="left"/>
    </xf>
    <xf numFmtId="0" fontId="16" fillId="6" borderId="0" xfId="7" applyFont="1" applyFill="1" applyAlignment="1">
      <alignment horizontal="center"/>
    </xf>
    <xf numFmtId="2" fontId="17" fillId="7" borderId="0" xfId="7" applyNumberFormat="1" applyFont="1" applyFill="1" applyAlignment="1">
      <alignment horizontal="left"/>
    </xf>
    <xf numFmtId="2" fontId="17" fillId="8" borderId="0" xfId="7" applyNumberFormat="1" applyFont="1" applyFill="1" applyAlignment="1">
      <alignment horizontal="left"/>
    </xf>
    <xf numFmtId="2" fontId="18" fillId="5" borderId="0" xfId="7" applyNumberFormat="1" applyFont="1" applyFill="1" applyAlignment="1">
      <alignment horizontal="left"/>
    </xf>
    <xf numFmtId="2" fontId="18" fillId="9" borderId="0" xfId="7" applyNumberFormat="1" applyFont="1" applyFill="1" applyAlignment="1">
      <alignment horizontal="left"/>
    </xf>
    <xf numFmtId="2" fontId="18" fillId="10" borderId="0" xfId="7" applyNumberFormat="1" applyFont="1" applyFill="1" applyAlignment="1">
      <alignment horizontal="left"/>
    </xf>
    <xf numFmtId="2" fontId="18" fillId="11" borderId="0" xfId="7" applyNumberFormat="1" applyFont="1" applyFill="1" applyAlignment="1">
      <alignment horizontal="left"/>
    </xf>
    <xf numFmtId="2" fontId="18" fillId="12" borderId="0" xfId="7" applyNumberFormat="1" applyFont="1" applyFill="1" applyAlignment="1">
      <alignment horizontal="left"/>
    </xf>
    <xf numFmtId="2" fontId="18" fillId="13" borderId="0" xfId="7" applyNumberFormat="1" applyFont="1" applyFill="1" applyAlignment="1">
      <alignment horizontal="left"/>
    </xf>
    <xf numFmtId="2" fontId="18" fillId="14" borderId="0" xfId="7" applyNumberFormat="1" applyFont="1" applyFill="1" applyAlignment="1">
      <alignment horizontal="left"/>
    </xf>
    <xf numFmtId="1" fontId="16" fillId="15" borderId="0" xfId="7" applyNumberFormat="1" applyFont="1" applyFill="1" applyAlignment="1">
      <alignment horizontal="center"/>
    </xf>
    <xf numFmtId="164" fontId="17" fillId="15" borderId="0" xfId="7" applyNumberFormat="1" applyFont="1" applyFill="1" applyAlignment="1">
      <alignment horizontal="left"/>
    </xf>
    <xf numFmtId="164" fontId="18" fillId="15" borderId="0" xfId="7" applyNumberFormat="1" applyFont="1" applyFill="1" applyAlignment="1">
      <alignment horizontal="left"/>
    </xf>
    <xf numFmtId="0" fontId="12" fillId="16" borderId="0" xfId="7" applyFont="1" applyFill="1"/>
    <xf numFmtId="164" fontId="12" fillId="17" borderId="0" xfId="7" applyNumberFormat="1" applyFont="1" applyFill="1"/>
    <xf numFmtId="164" fontId="10" fillId="0" borderId="0" xfId="7" applyNumberFormat="1"/>
    <xf numFmtId="164" fontId="12" fillId="15" borderId="0" xfId="7" applyNumberFormat="1" applyFont="1" applyFill="1"/>
    <xf numFmtId="0" fontId="16" fillId="16" borderId="0" xfId="7" applyFont="1" applyFill="1"/>
    <xf numFmtId="164" fontId="16" fillId="17" borderId="0" xfId="7" applyNumberFormat="1" applyFont="1" applyFill="1"/>
    <xf numFmtId="164" fontId="16" fillId="15" borderId="0" xfId="7" applyNumberFormat="1" applyFont="1" applyFill="1"/>
    <xf numFmtId="164" fontId="10" fillId="17" borderId="0" xfId="7" applyNumberFormat="1" applyFill="1"/>
    <xf numFmtId="164" fontId="19" fillId="17" borderId="0" xfId="7" applyNumberFormat="1" applyFont="1" applyFill="1"/>
    <xf numFmtId="164" fontId="19" fillId="15" borderId="0" xfId="7" applyNumberFormat="1" applyFont="1" applyFill="1"/>
    <xf numFmtId="4" fontId="20" fillId="0" borderId="0" xfId="8" applyNumberFormat="1" applyFont="1"/>
    <xf numFmtId="3" fontId="20" fillId="0" borderId="0" xfId="8" applyNumberFormat="1" applyFont="1"/>
    <xf numFmtId="165" fontId="0" fillId="0" borderId="0" xfId="9" applyFont="1"/>
    <xf numFmtId="0" fontId="21" fillId="16" borderId="0" xfId="7" applyFont="1" applyFill="1" applyAlignment="1">
      <alignment horizontal="left" indent="1"/>
    </xf>
    <xf numFmtId="164" fontId="12" fillId="18" borderId="0" xfId="7" applyNumberFormat="1" applyFont="1" applyFill="1"/>
    <xf numFmtId="165" fontId="10" fillId="0" borderId="0" xfId="7" applyNumberFormat="1"/>
    <xf numFmtId="0" fontId="21" fillId="16" borderId="0" xfId="7" applyFont="1" applyFill="1" applyAlignment="1">
      <alignment horizontal="left" indent="2"/>
    </xf>
    <xf numFmtId="164" fontId="22" fillId="18" borderId="0" xfId="7" applyNumberFormat="1" applyFont="1" applyFill="1"/>
    <xf numFmtId="164" fontId="12" fillId="17" borderId="0" xfId="7" applyNumberFormat="1" applyFont="1" applyFill="1" applyAlignment="1">
      <alignment horizontal="right"/>
    </xf>
    <xf numFmtId="0" fontId="10" fillId="16" borderId="0" xfId="7" applyFill="1"/>
    <xf numFmtId="49" fontId="10" fillId="0" borderId="0" xfId="7" applyNumberFormat="1"/>
    <xf numFmtId="1" fontId="1" fillId="0" borderId="0" xfId="10" applyNumberFormat="1"/>
    <xf numFmtId="2" fontId="10" fillId="0" borderId="0" xfId="7" applyNumberFormat="1"/>
    <xf numFmtId="0" fontId="23" fillId="0" borderId="0" xfId="7" applyFont="1"/>
    <xf numFmtId="9" fontId="10" fillId="0" borderId="0" xfId="1" applyFont="1"/>
    <xf numFmtId="1" fontId="10" fillId="0" borderId="0" xfId="7" applyNumberFormat="1"/>
    <xf numFmtId="166" fontId="24" fillId="0" borderId="0" xfId="11" applyAlignment="1" applyProtection="1">
      <alignment horizontal="right"/>
    </xf>
    <xf numFmtId="166" fontId="25" fillId="0" borderId="0" xfId="10" applyFont="1"/>
    <xf numFmtId="3" fontId="10" fillId="0" borderId="0" xfId="7" applyNumberFormat="1"/>
    <xf numFmtId="0" fontId="1" fillId="0" borderId="0" xfId="10" applyNumberFormat="1"/>
    <xf numFmtId="0" fontId="2" fillId="0" borderId="1" xfId="12" applyNumberFormat="1"/>
    <xf numFmtId="166" fontId="1" fillId="0" borderId="0" xfId="10"/>
    <xf numFmtId="9" fontId="0" fillId="0" borderId="0" xfId="1" applyFont="1"/>
    <xf numFmtId="9" fontId="1" fillId="0" borderId="0" xfId="10" applyNumberFormat="1"/>
    <xf numFmtId="167" fontId="1" fillId="0" borderId="0" xfId="10" applyNumberFormat="1"/>
    <xf numFmtId="0" fontId="4" fillId="0" borderId="3" xfId="13" applyNumberFormat="1"/>
    <xf numFmtId="0" fontId="1" fillId="19" borderId="0" xfId="10" applyNumberFormat="1" applyFill="1"/>
    <xf numFmtId="0" fontId="1" fillId="20" borderId="0" xfId="10" applyNumberFormat="1" applyFill="1"/>
    <xf numFmtId="0" fontId="7" fillId="19" borderId="0" xfId="10" applyNumberFormat="1" applyFont="1" applyFill="1"/>
    <xf numFmtId="0" fontId="8" fillId="0" borderId="0" xfId="10" applyNumberFormat="1" applyFont="1" applyAlignment="1">
      <alignment wrapText="1"/>
    </xf>
    <xf numFmtId="0" fontId="8" fillId="0" borderId="0" xfId="10" applyNumberFormat="1" applyFont="1"/>
    <xf numFmtId="0" fontId="1" fillId="0" borderId="0" xfId="10" quotePrefix="1" applyNumberFormat="1"/>
    <xf numFmtId="0" fontId="1" fillId="21" borderId="0" xfId="10" applyNumberFormat="1" applyFill="1"/>
    <xf numFmtId="0" fontId="1" fillId="0" borderId="0" xfId="14"/>
    <xf numFmtId="1" fontId="0" fillId="0" borderId="0" xfId="15" applyNumberFormat="1" applyFont="1" applyFill="1"/>
    <xf numFmtId="1" fontId="0" fillId="19" borderId="0" xfId="15" applyNumberFormat="1" applyFont="1" applyFill="1"/>
    <xf numFmtId="1" fontId="0" fillId="20" borderId="0" xfId="15" applyNumberFormat="1" applyFont="1" applyFill="1"/>
    <xf numFmtId="168" fontId="0" fillId="0" borderId="0" xfId="15" applyNumberFormat="1" applyFont="1" applyFill="1"/>
    <xf numFmtId="170" fontId="0" fillId="0" borderId="0" xfId="16" applyNumberFormat="1" applyFont="1" applyFill="1"/>
    <xf numFmtId="1" fontId="28" fillId="0" borderId="0" xfId="10" applyNumberFormat="1" applyFont="1"/>
    <xf numFmtId="0" fontId="0" fillId="0" borderId="0" xfId="1" applyNumberFormat="1" applyFont="1" applyFill="1"/>
    <xf numFmtId="168" fontId="0" fillId="0" borderId="6" xfId="15" applyNumberFormat="1" applyFont="1" applyFill="1" applyBorder="1"/>
    <xf numFmtId="2" fontId="1" fillId="0" borderId="0" xfId="10" applyNumberFormat="1"/>
    <xf numFmtId="2" fontId="1" fillId="0" borderId="0" xfId="17" applyNumberFormat="1"/>
    <xf numFmtId="171" fontId="1" fillId="0" borderId="0" xfId="10" applyNumberFormat="1"/>
    <xf numFmtId="9" fontId="0" fillId="0" borderId="0" xfId="1" applyFont="1" applyFill="1"/>
    <xf numFmtId="170" fontId="0" fillId="0" borderId="0" xfId="15" applyNumberFormat="1" applyFont="1" applyFill="1"/>
    <xf numFmtId="170" fontId="1" fillId="0" borderId="0" xfId="10" applyNumberFormat="1"/>
    <xf numFmtId="172" fontId="1" fillId="0" borderId="0" xfId="10" applyNumberFormat="1"/>
    <xf numFmtId="166" fontId="8" fillId="0" borderId="0" xfId="10" applyFont="1"/>
    <xf numFmtId="1" fontId="7" fillId="0" borderId="0" xfId="15" applyNumberFormat="1" applyFont="1" applyFill="1"/>
    <xf numFmtId="10" fontId="0" fillId="0" borderId="0" xfId="1" applyNumberFormat="1" applyFont="1" applyFill="1"/>
    <xf numFmtId="0" fontId="1" fillId="22" borderId="0" xfId="10" applyNumberFormat="1" applyFill="1"/>
    <xf numFmtId="166" fontId="1" fillId="22" borderId="0" xfId="10" applyFill="1"/>
    <xf numFmtId="168" fontId="0" fillId="22" borderId="0" xfId="15" applyNumberFormat="1" applyFont="1" applyFill="1"/>
    <xf numFmtId="170" fontId="0" fillId="22" borderId="0" xfId="16" applyNumberFormat="1" applyFont="1" applyFill="1"/>
    <xf numFmtId="1" fontId="1" fillId="22" borderId="0" xfId="10" applyNumberFormat="1" applyFill="1"/>
    <xf numFmtId="1" fontId="28" fillId="22" borderId="0" xfId="10" applyNumberFormat="1" applyFont="1" applyFill="1"/>
    <xf numFmtId="0" fontId="0" fillId="22" borderId="0" xfId="1" applyNumberFormat="1" applyFont="1" applyFill="1"/>
    <xf numFmtId="168" fontId="0" fillId="22" borderId="6" xfId="15" applyNumberFormat="1" applyFont="1" applyFill="1" applyBorder="1"/>
    <xf numFmtId="2" fontId="1" fillId="22" borderId="0" xfId="10" applyNumberFormat="1" applyFill="1"/>
    <xf numFmtId="2" fontId="1" fillId="22" borderId="0" xfId="17" applyNumberFormat="1" applyFill="1"/>
    <xf numFmtId="172" fontId="1" fillId="22" borderId="0" xfId="10" applyNumberFormat="1" applyFill="1"/>
    <xf numFmtId="173" fontId="0" fillId="0" borderId="0" xfId="16" applyNumberFormat="1" applyFont="1" applyFill="1"/>
    <xf numFmtId="1" fontId="28" fillId="0" borderId="0" xfId="15" applyNumberFormat="1" applyFont="1" applyFill="1"/>
    <xf numFmtId="2" fontId="7" fillId="0" borderId="0" xfId="14" applyNumberFormat="1" applyFont="1"/>
    <xf numFmtId="172" fontId="7" fillId="0" borderId="0" xfId="14" applyNumberFormat="1" applyFont="1"/>
    <xf numFmtId="2" fontId="1" fillId="0" borderId="0" xfId="14" applyNumberFormat="1"/>
    <xf numFmtId="174" fontId="1" fillId="0" borderId="0" xfId="10" applyNumberFormat="1"/>
    <xf numFmtId="0" fontId="29" fillId="0" borderId="0" xfId="7" applyFont="1" applyAlignment="1" applyProtection="1">
      <alignment horizontal="left"/>
      <protection locked="0"/>
    </xf>
    <xf numFmtId="175" fontId="1" fillId="0" borderId="0" xfId="10" applyNumberFormat="1"/>
    <xf numFmtId="166" fontId="28" fillId="0" borderId="0" xfId="10" applyFont="1"/>
    <xf numFmtId="0" fontId="28" fillId="0" borderId="0" xfId="10" applyNumberFormat="1" applyFont="1"/>
    <xf numFmtId="166" fontId="1" fillId="0" borderId="0" xfId="10" applyAlignment="1">
      <alignment horizontal="center"/>
    </xf>
    <xf numFmtId="0" fontId="10" fillId="0" borderId="0" xfId="7" applyAlignment="1">
      <alignment horizontal="center"/>
    </xf>
    <xf numFmtId="0" fontId="1" fillId="0" borderId="0" xfId="10" applyNumberFormat="1" applyAlignment="1">
      <alignment horizontal="center"/>
    </xf>
    <xf numFmtId="0" fontId="6" fillId="0" borderId="5" xfId="18" applyNumberFormat="1" applyFont="1" applyFill="1"/>
    <xf numFmtId="0" fontId="6" fillId="0" borderId="4" xfId="19" applyNumberFormat="1" applyFill="1"/>
    <xf numFmtId="0" fontId="6" fillId="0" borderId="7" xfId="19" applyNumberFormat="1" applyFill="1" applyBorder="1"/>
    <xf numFmtId="0" fontId="6" fillId="0" borderId="0" xfId="19" applyNumberFormat="1" applyFill="1" applyBorder="1"/>
    <xf numFmtId="0" fontId="4" fillId="0" borderId="3" xfId="13" applyNumberFormat="1" applyFill="1"/>
    <xf numFmtId="0" fontId="4" fillId="0" borderId="0" xfId="13" applyNumberFormat="1" applyFill="1" applyBorder="1"/>
    <xf numFmtId="0" fontId="1" fillId="0" borderId="0" xfId="10" applyNumberFormat="1" applyAlignment="1">
      <alignment horizontal="right"/>
    </xf>
    <xf numFmtId="0" fontId="1" fillId="0" borderId="8" xfId="10" applyNumberFormat="1" applyBorder="1" applyAlignment="1">
      <alignment horizontal="center"/>
    </xf>
    <xf numFmtId="176" fontId="0" fillId="0" borderId="9" xfId="1" applyNumberFormat="1" applyFont="1" applyFill="1" applyBorder="1" applyAlignment="1">
      <alignment horizontal="center"/>
    </xf>
    <xf numFmtId="0" fontId="1" fillId="0" borderId="10" xfId="10" applyNumberFormat="1" applyBorder="1" applyAlignment="1">
      <alignment horizontal="center"/>
    </xf>
    <xf numFmtId="168" fontId="6" fillId="0" borderId="4" xfId="19" applyNumberFormat="1" applyFill="1"/>
    <xf numFmtId="171" fontId="1" fillId="0" borderId="0" xfId="10" applyNumberFormat="1" applyAlignment="1">
      <alignment horizontal="left"/>
    </xf>
    <xf numFmtId="0" fontId="1" fillId="0" borderId="11" xfId="10" applyNumberFormat="1" applyBorder="1" applyAlignment="1">
      <alignment horizontal="center"/>
    </xf>
    <xf numFmtId="176" fontId="1" fillId="0" borderId="12" xfId="10" applyNumberFormat="1" applyBorder="1" applyAlignment="1">
      <alignment horizontal="center"/>
    </xf>
    <xf numFmtId="0" fontId="1" fillId="0" borderId="13" xfId="10" applyNumberFormat="1" applyBorder="1" applyAlignment="1">
      <alignment horizontal="center"/>
    </xf>
    <xf numFmtId="0" fontId="6" fillId="0" borderId="14" xfId="18" applyNumberFormat="1" applyFont="1" applyFill="1" applyBorder="1"/>
    <xf numFmtId="0" fontId="6" fillId="0" borderId="15" xfId="19" applyNumberFormat="1" applyFill="1" applyBorder="1"/>
    <xf numFmtId="0" fontId="6" fillId="0" borderId="16" xfId="19" applyNumberFormat="1" applyFill="1" applyBorder="1"/>
    <xf numFmtId="0" fontId="6" fillId="0" borderId="15" xfId="1" applyNumberFormat="1" applyFont="1" applyFill="1" applyBorder="1"/>
    <xf numFmtId="0" fontId="6" fillId="0" borderId="17" xfId="19" applyNumberFormat="1" applyFill="1" applyBorder="1"/>
    <xf numFmtId="0" fontId="1" fillId="0" borderId="18" xfId="10" applyNumberFormat="1" applyBorder="1"/>
    <xf numFmtId="0" fontId="1" fillId="0" borderId="19" xfId="10" applyNumberFormat="1" applyBorder="1"/>
    <xf numFmtId="0" fontId="30" fillId="0" borderId="19" xfId="19" applyNumberFormat="1" applyFont="1" applyFill="1" applyBorder="1"/>
    <xf numFmtId="0" fontId="1" fillId="0" borderId="20" xfId="10" applyNumberFormat="1" applyBorder="1"/>
    <xf numFmtId="172" fontId="6" fillId="20" borderId="21" xfId="19" applyNumberFormat="1" applyFill="1" applyBorder="1"/>
    <xf numFmtId="0" fontId="0" fillId="20" borderId="0" xfId="15" applyNumberFormat="1" applyFont="1" applyFill="1" applyBorder="1"/>
    <xf numFmtId="177" fontId="0" fillId="20" borderId="0" xfId="15" applyNumberFormat="1" applyFont="1" applyFill="1" applyBorder="1"/>
    <xf numFmtId="172" fontId="0" fillId="20" borderId="0" xfId="15" applyNumberFormat="1" applyFont="1" applyFill="1" applyBorder="1"/>
    <xf numFmtId="177" fontId="1" fillId="20" borderId="0" xfId="10" applyNumberFormat="1" applyFill="1"/>
    <xf numFmtId="1" fontId="31" fillId="23" borderId="0" xfId="15" applyNumberFormat="1" applyFont="1" applyFill="1" applyBorder="1"/>
    <xf numFmtId="0" fontId="31" fillId="23" borderId="0" xfId="10" applyNumberFormat="1" applyFont="1" applyFill="1"/>
    <xf numFmtId="176" fontId="31" fillId="23" borderId="0" xfId="1" applyNumberFormat="1" applyFont="1" applyFill="1" applyBorder="1"/>
    <xf numFmtId="177" fontId="31" fillId="23" borderId="0" xfId="10" applyNumberFormat="1" applyFont="1" applyFill="1"/>
    <xf numFmtId="177" fontId="31" fillId="23" borderId="22" xfId="10" applyNumberFormat="1" applyFont="1" applyFill="1" applyBorder="1"/>
    <xf numFmtId="174" fontId="0" fillId="0" borderId="0" xfId="1" applyNumberFormat="1" applyFont="1" applyFill="1"/>
    <xf numFmtId="0" fontId="1" fillId="20" borderId="23" xfId="10" applyNumberFormat="1" applyFill="1" applyBorder="1"/>
    <xf numFmtId="0" fontId="1" fillId="20" borderId="24" xfId="10" applyNumberFormat="1" applyFill="1" applyBorder="1"/>
    <xf numFmtId="0" fontId="1" fillId="20" borderId="25" xfId="10" applyNumberFormat="1" applyFill="1" applyBorder="1" applyAlignment="1">
      <alignment horizontal="right"/>
    </xf>
    <xf numFmtId="9" fontId="0" fillId="20" borderId="0" xfId="1" applyFont="1" applyFill="1" applyBorder="1"/>
    <xf numFmtId="170" fontId="0" fillId="20" borderId="0" xfId="15" applyNumberFormat="1" applyFont="1" applyFill="1" applyBorder="1"/>
    <xf numFmtId="0" fontId="0" fillId="20" borderId="0" xfId="1" applyNumberFormat="1" applyFont="1" applyFill="1" applyBorder="1"/>
    <xf numFmtId="0" fontId="7" fillId="20" borderId="0" xfId="10" applyNumberFormat="1" applyFont="1" applyFill="1"/>
    <xf numFmtId="177" fontId="1" fillId="20" borderId="0" xfId="20" applyNumberFormat="1" applyFill="1"/>
    <xf numFmtId="0" fontId="7" fillId="0" borderId="0" xfId="10" applyNumberFormat="1" applyFont="1"/>
    <xf numFmtId="166" fontId="7" fillId="0" borderId="0" xfId="10" applyFont="1"/>
    <xf numFmtId="170" fontId="7" fillId="20" borderId="0" xfId="15" applyNumberFormat="1" applyFont="1" applyFill="1" applyBorder="1"/>
    <xf numFmtId="0" fontId="7" fillId="20" borderId="0" xfId="15" applyNumberFormat="1" applyFont="1" applyFill="1" applyBorder="1"/>
    <xf numFmtId="177" fontId="7" fillId="20" borderId="0" xfId="10" applyNumberFormat="1" applyFont="1" applyFill="1"/>
    <xf numFmtId="2" fontId="7" fillId="20" borderId="0" xfId="10" applyNumberFormat="1" applyFont="1" applyFill="1"/>
    <xf numFmtId="174" fontId="7" fillId="0" borderId="0" xfId="1" applyNumberFormat="1" applyFont="1" applyFill="1"/>
    <xf numFmtId="170" fontId="7" fillId="0" borderId="0" xfId="15" applyNumberFormat="1" applyFont="1" applyFill="1"/>
    <xf numFmtId="0" fontId="5" fillId="20" borderId="0" xfId="21" applyNumberFormat="1" applyFill="1" applyBorder="1"/>
    <xf numFmtId="0" fontId="5" fillId="20" borderId="26" xfId="21" applyNumberFormat="1" applyFill="1" applyBorder="1"/>
    <xf numFmtId="0" fontId="0" fillId="20" borderId="27" xfId="15" applyNumberFormat="1" applyFont="1" applyFill="1" applyBorder="1"/>
    <xf numFmtId="0" fontId="1" fillId="20" borderId="28" xfId="10" applyNumberFormat="1" applyFill="1" applyBorder="1"/>
    <xf numFmtId="0" fontId="1" fillId="20" borderId="29" xfId="10" applyNumberFormat="1" applyFill="1" applyBorder="1" applyAlignment="1">
      <alignment horizontal="right"/>
    </xf>
    <xf numFmtId="0" fontId="1" fillId="20" borderId="30" xfId="10" applyNumberFormat="1" applyFill="1" applyBorder="1"/>
    <xf numFmtId="0" fontId="1" fillId="20" borderId="31" xfId="10" applyNumberFormat="1" applyFill="1" applyBorder="1"/>
    <xf numFmtId="0" fontId="1" fillId="20" borderId="32" xfId="10" applyNumberFormat="1" applyFill="1" applyBorder="1" applyAlignment="1">
      <alignment horizontal="right"/>
    </xf>
    <xf numFmtId="0" fontId="1" fillId="20" borderId="0" xfId="10" applyNumberFormat="1" applyFill="1" applyAlignment="1">
      <alignment horizontal="right"/>
    </xf>
    <xf numFmtId="172" fontId="6" fillId="22" borderId="21" xfId="19" applyNumberFormat="1" applyFill="1" applyBorder="1"/>
    <xf numFmtId="0" fontId="1" fillId="22" borderId="0" xfId="10" applyNumberFormat="1" applyFill="1" applyAlignment="1">
      <alignment horizontal="right"/>
    </xf>
    <xf numFmtId="172" fontId="0" fillId="22" borderId="0" xfId="15" applyNumberFormat="1" applyFont="1" applyFill="1" applyBorder="1"/>
    <xf numFmtId="0" fontId="1" fillId="20" borderId="26" xfId="10" applyNumberFormat="1" applyFill="1" applyBorder="1"/>
    <xf numFmtId="0" fontId="1" fillId="20" borderId="27" xfId="10" applyNumberFormat="1" applyFill="1" applyBorder="1" applyAlignment="1">
      <alignment horizontal="right"/>
    </xf>
    <xf numFmtId="0" fontId="1" fillId="20" borderId="27" xfId="10" applyNumberFormat="1" applyFill="1" applyBorder="1"/>
    <xf numFmtId="0" fontId="1" fillId="20" borderId="33" xfId="10" applyNumberFormat="1" applyFill="1" applyBorder="1"/>
    <xf numFmtId="0" fontId="1" fillId="20" borderId="34" xfId="10" applyNumberFormat="1" applyFill="1" applyBorder="1"/>
    <xf numFmtId="0" fontId="1" fillId="20" borderId="35" xfId="10" applyNumberFormat="1" applyFill="1" applyBorder="1" applyAlignment="1">
      <alignment horizontal="right"/>
    </xf>
    <xf numFmtId="177" fontId="5" fillId="20" borderId="0" xfId="21" applyNumberFormat="1" applyFill="1" applyBorder="1"/>
    <xf numFmtId="0" fontId="0" fillId="22" borderId="0" xfId="15" applyNumberFormat="1" applyFont="1" applyFill="1" applyBorder="1"/>
    <xf numFmtId="0" fontId="7" fillId="22" borderId="0" xfId="10" applyNumberFormat="1" applyFont="1" applyFill="1"/>
    <xf numFmtId="174" fontId="0" fillId="22" borderId="0" xfId="15" applyNumberFormat="1" applyFont="1" applyFill="1" applyBorder="1"/>
    <xf numFmtId="174" fontId="0" fillId="20" borderId="0" xfId="15" applyNumberFormat="1" applyFont="1" applyFill="1" applyBorder="1"/>
    <xf numFmtId="1" fontId="0" fillId="20" borderId="0" xfId="15" applyNumberFormat="1" applyFont="1" applyFill="1" applyBorder="1"/>
    <xf numFmtId="173" fontId="0" fillId="0" borderId="0" xfId="15" applyNumberFormat="1" applyFont="1" applyFill="1"/>
    <xf numFmtId="0" fontId="32" fillId="0" borderId="0" xfId="10" applyNumberFormat="1" applyFont="1"/>
    <xf numFmtId="0" fontId="32" fillId="20" borderId="36" xfId="10" applyNumberFormat="1" applyFont="1" applyFill="1" applyBorder="1"/>
    <xf numFmtId="0" fontId="32" fillId="20" borderId="0" xfId="10" applyNumberFormat="1" applyFont="1" applyFill="1"/>
    <xf numFmtId="0" fontId="32" fillId="20" borderId="0" xfId="15" applyNumberFormat="1" applyFont="1" applyFill="1" applyBorder="1"/>
    <xf numFmtId="172" fontId="32" fillId="20" borderId="0" xfId="10" applyNumberFormat="1" applyFont="1" applyFill="1"/>
    <xf numFmtId="176" fontId="32" fillId="20" borderId="0" xfId="1" applyNumberFormat="1" applyFont="1" applyFill="1" applyBorder="1"/>
    <xf numFmtId="0" fontId="32" fillId="20" borderId="22" xfId="10" applyNumberFormat="1" applyFont="1" applyFill="1" applyBorder="1"/>
    <xf numFmtId="0" fontId="1" fillId="20" borderId="37" xfId="10" applyNumberFormat="1" applyFill="1" applyBorder="1"/>
    <xf numFmtId="0" fontId="1" fillId="20" borderId="38" xfId="10" applyNumberFormat="1" applyFill="1" applyBorder="1"/>
    <xf numFmtId="166" fontId="1" fillId="20" borderId="38" xfId="10" applyFill="1" applyBorder="1"/>
    <xf numFmtId="166" fontId="1" fillId="20" borderId="39" xfId="10" applyFill="1" applyBorder="1"/>
    <xf numFmtId="0" fontId="0" fillId="0" borderId="0" xfId="0" applyAlignment="1">
      <alignment horizontal="center" wrapText="1"/>
    </xf>
    <xf numFmtId="0" fontId="38" fillId="0" borderId="0" xfId="0" applyFont="1"/>
    <xf numFmtId="0" fontId="39" fillId="0" borderId="0" xfId="0" applyFont="1"/>
    <xf numFmtId="0" fontId="39" fillId="0" borderId="0" xfId="0" applyFont="1" applyAlignment="1">
      <alignment horizontal="center" wrapText="1"/>
    </xf>
    <xf numFmtId="0" fontId="30" fillId="0" borderId="0" xfId="0" applyFont="1"/>
    <xf numFmtId="0" fontId="41" fillId="0" borderId="0" xfId="0" applyFont="1"/>
    <xf numFmtId="0" fontId="42" fillId="0" borderId="0" xfId="0" applyFont="1"/>
    <xf numFmtId="1" fontId="39" fillId="0" borderId="0" xfId="15" applyNumberFormat="1" applyFont="1" applyFill="1"/>
    <xf numFmtId="2" fontId="39" fillId="0" borderId="0" xfId="10" applyNumberFormat="1" applyFont="1"/>
    <xf numFmtId="2" fontId="39" fillId="0" borderId="0" xfId="15" applyNumberFormat="1" applyFont="1" applyFill="1"/>
    <xf numFmtId="0" fontId="2" fillId="0" borderId="1" xfId="2"/>
    <xf numFmtId="0" fontId="0" fillId="0" borderId="0" xfId="0" applyAlignment="1">
      <alignment wrapText="1"/>
    </xf>
    <xf numFmtId="0" fontId="39" fillId="25" borderId="6" xfId="0" applyFont="1" applyFill="1" applyBorder="1" applyAlignment="1">
      <alignment wrapText="1"/>
    </xf>
    <xf numFmtId="0" fontId="0" fillId="0" borderId="6" xfId="0" applyBorder="1"/>
    <xf numFmtId="0" fontId="39" fillId="0" borderId="6" xfId="0" applyFont="1" applyBorder="1"/>
    <xf numFmtId="0" fontId="9" fillId="0" borderId="6" xfId="6" applyBorder="1"/>
    <xf numFmtId="0" fontId="39" fillId="25" borderId="6" xfId="0" applyFont="1" applyFill="1" applyBorder="1"/>
    <xf numFmtId="0" fontId="0" fillId="25" borderId="6" xfId="0" applyFill="1" applyBorder="1"/>
    <xf numFmtId="0" fontId="4" fillId="0" borderId="6" xfId="5" applyBorder="1"/>
    <xf numFmtId="172" fontId="39" fillId="0" borderId="6" xfId="0" applyNumberFormat="1" applyFont="1" applyBorder="1"/>
    <xf numFmtId="0" fontId="8" fillId="0" borderId="6" xfId="0" applyFont="1" applyBorder="1"/>
    <xf numFmtId="0" fontId="0" fillId="0" borderId="40" xfId="0" applyBorder="1"/>
    <xf numFmtId="2" fontId="1" fillId="24" borderId="0" xfId="10" applyNumberFormat="1" applyFill="1"/>
    <xf numFmtId="1" fontId="0" fillId="24" borderId="0" xfId="15" applyNumberFormat="1" applyFont="1" applyFill="1"/>
    <xf numFmtId="177" fontId="39" fillId="25" borderId="6" xfId="0" applyNumberFormat="1" applyFont="1" applyFill="1" applyBorder="1" applyAlignment="1">
      <alignment wrapText="1"/>
    </xf>
    <xf numFmtId="0" fontId="46" fillId="0" borderId="6" xfId="0" applyFont="1" applyBorder="1"/>
    <xf numFmtId="172" fontId="40" fillId="0" borderId="6" xfId="0" applyNumberFormat="1" applyFont="1" applyBorder="1"/>
    <xf numFmtId="0" fontId="40" fillId="0" borderId="6" xfId="0" applyFont="1" applyBorder="1"/>
    <xf numFmtId="172" fontId="40" fillId="0" borderId="40" xfId="0" applyNumberFormat="1" applyFont="1" applyBorder="1"/>
    <xf numFmtId="178" fontId="40" fillId="0" borderId="6" xfId="0" applyNumberFormat="1" applyFont="1" applyBorder="1"/>
    <xf numFmtId="172" fontId="0" fillId="0" borderId="0" xfId="0" applyNumberFormat="1"/>
    <xf numFmtId="172" fontId="47" fillId="0" borderId="6" xfId="0" applyNumberFormat="1" applyFont="1" applyBorder="1"/>
    <xf numFmtId="166" fontId="1" fillId="0" borderId="0" xfId="22"/>
    <xf numFmtId="0" fontId="1" fillId="0" borderId="0" xfId="22" applyNumberFormat="1"/>
    <xf numFmtId="166" fontId="48" fillId="27" borderId="0" xfId="23" applyNumberFormat="1"/>
    <xf numFmtId="166" fontId="48" fillId="27" borderId="0" xfId="23"/>
    <xf numFmtId="3" fontId="48" fillId="27" borderId="0" xfId="23" applyNumberFormat="1"/>
    <xf numFmtId="2" fontId="1" fillId="0" borderId="0" xfId="22" applyNumberFormat="1"/>
    <xf numFmtId="166" fontId="8" fillId="0" borderId="0" xfId="22" applyFont="1"/>
    <xf numFmtId="2" fontId="30" fillId="30" borderId="6" xfId="22" applyNumberFormat="1" applyFont="1" applyFill="1" applyBorder="1" applyAlignment="1">
      <alignment horizontal="center"/>
    </xf>
    <xf numFmtId="179" fontId="12" fillId="17" borderId="43" xfId="7" applyNumberFormat="1" applyFont="1" applyFill="1" applyBorder="1"/>
    <xf numFmtId="179" fontId="12" fillId="0" borderId="0" xfId="7" applyNumberFormat="1" applyFont="1"/>
    <xf numFmtId="179" fontId="12" fillId="17" borderId="0" xfId="7" applyNumberFormat="1" applyFont="1" applyFill="1"/>
    <xf numFmtId="166" fontId="1" fillId="0" borderId="18" xfId="22" applyBorder="1"/>
    <xf numFmtId="166" fontId="1" fillId="0" borderId="20" xfId="22" applyBorder="1"/>
    <xf numFmtId="166" fontId="1" fillId="0" borderId="44" xfId="22" applyBorder="1"/>
    <xf numFmtId="166" fontId="1" fillId="0" borderId="45" xfId="22" applyBorder="1"/>
    <xf numFmtId="166" fontId="45" fillId="28" borderId="4" xfId="24"/>
    <xf numFmtId="179" fontId="45" fillId="28" borderId="4" xfId="24" applyNumberFormat="1"/>
    <xf numFmtId="179" fontId="12" fillId="17" borderId="46" xfId="7" applyNumberFormat="1" applyFont="1" applyFill="1" applyBorder="1"/>
    <xf numFmtId="166" fontId="1" fillId="0" borderId="36" xfId="22" applyBorder="1"/>
    <xf numFmtId="166" fontId="1" fillId="0" borderId="22" xfId="22" applyBorder="1"/>
    <xf numFmtId="166" fontId="1" fillId="0" borderId="47" xfId="22" applyBorder="1"/>
    <xf numFmtId="166" fontId="1" fillId="0" borderId="48" xfId="22" applyBorder="1"/>
    <xf numFmtId="176" fontId="12" fillId="17" borderId="46" xfId="1" applyNumberFormat="1" applyFont="1" applyFill="1" applyBorder="1"/>
    <xf numFmtId="176" fontId="12" fillId="0" borderId="0" xfId="1" applyNumberFormat="1" applyFont="1" applyFill="1"/>
    <xf numFmtId="176" fontId="12" fillId="0" borderId="46" xfId="1" applyNumberFormat="1" applyFont="1" applyFill="1" applyBorder="1"/>
    <xf numFmtId="179" fontId="12" fillId="18" borderId="46" xfId="7" applyNumberFormat="1" applyFont="1" applyFill="1" applyBorder="1"/>
    <xf numFmtId="180" fontId="12" fillId="0" borderId="0" xfId="7" applyNumberFormat="1" applyFont="1"/>
    <xf numFmtId="9" fontId="12" fillId="0" borderId="0" xfId="1" applyFont="1" applyFill="1"/>
    <xf numFmtId="179" fontId="12" fillId="18" borderId="0" xfId="7" applyNumberFormat="1" applyFont="1" applyFill="1"/>
    <xf numFmtId="179" fontId="12" fillId="0" borderId="46" xfId="7" applyNumberFormat="1" applyFont="1" applyBorder="1"/>
    <xf numFmtId="4" fontId="48" fillId="27" borderId="0" xfId="23" applyNumberFormat="1"/>
    <xf numFmtId="174" fontId="1" fillId="0" borderId="0" xfId="22" applyNumberFormat="1"/>
    <xf numFmtId="165" fontId="1" fillId="0" borderId="0" xfId="22" applyNumberFormat="1"/>
    <xf numFmtId="9" fontId="12" fillId="18" borderId="0" xfId="1" applyFont="1" applyFill="1"/>
    <xf numFmtId="181" fontId="12" fillId="0" borderId="46" xfId="7" applyNumberFormat="1" applyFont="1" applyBorder="1"/>
    <xf numFmtId="176" fontId="12" fillId="18" borderId="0" xfId="1" applyNumberFormat="1" applyFont="1" applyFill="1"/>
    <xf numFmtId="177" fontId="48" fillId="0" borderId="0" xfId="23" applyNumberFormat="1" applyFill="1"/>
    <xf numFmtId="170" fontId="0" fillId="0" borderId="0" xfId="15" applyNumberFormat="1" applyFont="1" applyFill="1" applyBorder="1"/>
    <xf numFmtId="166" fontId="1" fillId="0" borderId="0" xfId="22" applyAlignment="1">
      <alignment horizontal="right"/>
    </xf>
    <xf numFmtId="180" fontId="5" fillId="2" borderId="0" xfId="21" applyNumberFormat="1"/>
    <xf numFmtId="165" fontId="5" fillId="2" borderId="0" xfId="21" applyNumberFormat="1"/>
    <xf numFmtId="164" fontId="12" fillId="0" borderId="0" xfId="7" applyNumberFormat="1" applyFont="1"/>
    <xf numFmtId="176" fontId="8" fillId="0" borderId="6" xfId="1" applyNumberFormat="1" applyFont="1" applyBorder="1"/>
    <xf numFmtId="9" fontId="0" fillId="31" borderId="49" xfId="1" applyFont="1" applyFill="1" applyBorder="1" applyAlignment="1">
      <alignment horizontal="center"/>
    </xf>
    <xf numFmtId="1" fontId="1" fillId="31" borderId="6" xfId="22" applyNumberFormat="1" applyFill="1" applyBorder="1" applyAlignment="1">
      <alignment horizontal="center"/>
    </xf>
    <xf numFmtId="176" fontId="8" fillId="32" borderId="6" xfId="1" applyNumberFormat="1" applyFont="1" applyFill="1" applyBorder="1"/>
    <xf numFmtId="165" fontId="1" fillId="0" borderId="36" xfId="22" applyNumberFormat="1" applyBorder="1"/>
    <xf numFmtId="181" fontId="12" fillId="17" borderId="46" xfId="7" applyNumberFormat="1" applyFont="1" applyFill="1" applyBorder="1"/>
    <xf numFmtId="181" fontId="22" fillId="18" borderId="46" xfId="7" applyNumberFormat="1" applyFont="1" applyFill="1" applyBorder="1"/>
    <xf numFmtId="2" fontId="1" fillId="31" borderId="6" xfId="22" applyNumberFormat="1" applyFill="1" applyBorder="1" applyAlignment="1">
      <alignment horizontal="center"/>
    </xf>
    <xf numFmtId="181" fontId="12" fillId="18" borderId="46" xfId="7" applyNumberFormat="1" applyFont="1" applyFill="1" applyBorder="1"/>
    <xf numFmtId="179" fontId="12" fillId="0" borderId="50" xfId="7" applyNumberFormat="1" applyFont="1" applyBorder="1"/>
    <xf numFmtId="179" fontId="22" fillId="18" borderId="50" xfId="7" applyNumberFormat="1" applyFont="1" applyFill="1" applyBorder="1"/>
    <xf numFmtId="179" fontId="22" fillId="18" borderId="0" xfId="7" applyNumberFormat="1" applyFont="1" applyFill="1"/>
    <xf numFmtId="166" fontId="7" fillId="25" borderId="0" xfId="22" applyFont="1" applyFill="1"/>
    <xf numFmtId="166" fontId="5" fillId="0" borderId="37" xfId="21" applyFill="1" applyBorder="1"/>
    <xf numFmtId="166" fontId="5" fillId="0" borderId="39" xfId="21" applyFill="1" applyBorder="1"/>
    <xf numFmtId="166" fontId="1" fillId="0" borderId="51" xfId="22" applyBorder="1"/>
    <xf numFmtId="2" fontId="5" fillId="0" borderId="52" xfId="21" applyNumberFormat="1" applyFill="1" applyBorder="1"/>
    <xf numFmtId="165" fontId="0" fillId="0" borderId="0" xfId="15" applyFont="1" applyBorder="1"/>
    <xf numFmtId="2" fontId="7" fillId="25" borderId="0" xfId="22" applyNumberFormat="1" applyFont="1" applyFill="1"/>
    <xf numFmtId="9" fontId="7" fillId="25" borderId="0" xfId="1" applyFont="1" applyFill="1"/>
    <xf numFmtId="2" fontId="5" fillId="0" borderId="0" xfId="21" applyNumberFormat="1" applyFill="1" applyBorder="1"/>
    <xf numFmtId="173" fontId="0" fillId="0" borderId="0" xfId="15" applyNumberFormat="1" applyFont="1"/>
    <xf numFmtId="43" fontId="1" fillId="0" borderId="0" xfId="22" applyNumberFormat="1"/>
    <xf numFmtId="170" fontId="0" fillId="0" borderId="0" xfId="15" applyNumberFormat="1" applyFont="1"/>
    <xf numFmtId="176" fontId="0" fillId="0" borderId="0" xfId="1" applyNumberFormat="1" applyFont="1"/>
    <xf numFmtId="10" fontId="0" fillId="0" borderId="0" xfId="1" applyNumberFormat="1" applyFont="1"/>
    <xf numFmtId="166" fontId="49" fillId="0" borderId="0" xfId="22" applyFont="1" applyAlignment="1">
      <alignment horizontal="justify" wrapText="1"/>
    </xf>
    <xf numFmtId="166" fontId="1" fillId="0" borderId="0" xfId="22" quotePrefix="1"/>
    <xf numFmtId="0" fontId="6" fillId="3" borderId="4" xfId="19" applyNumberFormat="1"/>
    <xf numFmtId="9" fontId="5" fillId="2" borderId="4" xfId="21" applyNumberFormat="1" applyBorder="1"/>
    <xf numFmtId="2" fontId="8" fillId="0" borderId="0" xfId="22" applyNumberFormat="1" applyFont="1"/>
    <xf numFmtId="174" fontId="6" fillId="3" borderId="4" xfId="19" applyNumberFormat="1"/>
    <xf numFmtId="1" fontId="0" fillId="0" borderId="0" xfId="1" applyNumberFormat="1" applyFont="1"/>
    <xf numFmtId="9" fontId="0" fillId="4" borderId="5" xfId="18" applyNumberFormat="1" applyFont="1"/>
    <xf numFmtId="2" fontId="6" fillId="3" borderId="4" xfId="19" applyNumberFormat="1"/>
    <xf numFmtId="176" fontId="6" fillId="19" borderId="4" xfId="19" applyNumberFormat="1" applyFill="1"/>
    <xf numFmtId="9" fontId="6" fillId="3" borderId="4" xfId="19" applyNumberFormat="1"/>
    <xf numFmtId="9" fontId="6" fillId="0" borderId="4" xfId="1" applyFont="1" applyFill="1" applyBorder="1"/>
    <xf numFmtId="2" fontId="6" fillId="19" borderId="4" xfId="19" applyNumberFormat="1" applyFill="1"/>
    <xf numFmtId="1" fontId="6" fillId="3" borderId="4" xfId="19" applyNumberFormat="1"/>
    <xf numFmtId="1" fontId="6" fillId="19" borderId="4" xfId="19" applyNumberFormat="1" applyFill="1"/>
    <xf numFmtId="1" fontId="1" fillId="0" borderId="0" xfId="22" applyNumberFormat="1"/>
    <xf numFmtId="3" fontId="1" fillId="0" borderId="0" xfId="22" applyNumberFormat="1"/>
    <xf numFmtId="9" fontId="6" fillId="19" borderId="4" xfId="19" applyNumberFormat="1" applyFill="1"/>
    <xf numFmtId="177" fontId="6" fillId="3" borderId="4" xfId="19" applyNumberFormat="1"/>
    <xf numFmtId="177" fontId="6" fillId="19" borderId="4" xfId="19" applyNumberFormat="1" applyFill="1"/>
    <xf numFmtId="9" fontId="6" fillId="33" borderId="4" xfId="25" applyNumberFormat="1"/>
    <xf numFmtId="177" fontId="1" fillId="0" borderId="0" xfId="22" applyNumberFormat="1"/>
    <xf numFmtId="176" fontId="44" fillId="28" borderId="41" xfId="26" applyNumberFormat="1"/>
    <xf numFmtId="2" fontId="5" fillId="0" borderId="0" xfId="21" applyNumberFormat="1" applyFill="1"/>
    <xf numFmtId="2" fontId="6" fillId="33" borderId="4" xfId="25" applyNumberFormat="1"/>
    <xf numFmtId="2" fontId="6" fillId="19" borderId="4" xfId="25" applyNumberFormat="1" applyFill="1"/>
    <xf numFmtId="9" fontId="1" fillId="0" borderId="0" xfId="22" applyNumberFormat="1"/>
    <xf numFmtId="2" fontId="0" fillId="0" borderId="0" xfId="1" applyNumberFormat="1" applyFont="1"/>
    <xf numFmtId="2" fontId="44" fillId="28" borderId="41" xfId="26" applyNumberFormat="1"/>
    <xf numFmtId="176" fontId="8" fillId="29" borderId="41" xfId="27" applyNumberFormat="1" applyFont="1" applyBorder="1"/>
    <xf numFmtId="174" fontId="40" fillId="0" borderId="0" xfId="0" applyNumberFormat="1" applyFont="1" applyAlignment="1">
      <alignment horizontal="center" wrapText="1"/>
    </xf>
    <xf numFmtId="174" fontId="53" fillId="0" borderId="0" xfId="0" applyNumberFormat="1" applyFont="1" applyAlignment="1">
      <alignment horizontal="center" wrapText="1"/>
    </xf>
    <xf numFmtId="0" fontId="4" fillId="0" borderId="3" xfId="4" applyFill="1" applyAlignment="1">
      <alignment wrapText="1"/>
    </xf>
    <xf numFmtId="0" fontId="38" fillId="0" borderId="3" xfId="4" applyFont="1" applyFill="1" applyAlignment="1">
      <alignment wrapText="1"/>
    </xf>
    <xf numFmtId="0" fontId="4" fillId="0" borderId="0" xfId="4" applyBorder="1"/>
    <xf numFmtId="172" fontId="30" fillId="0" borderId="6" xfId="0" applyNumberFormat="1" applyFont="1" applyBorder="1"/>
    <xf numFmtId="4" fontId="43" fillId="0" borderId="6" xfId="0" applyNumberFormat="1" applyFont="1" applyBorder="1"/>
    <xf numFmtId="4" fontId="47" fillId="0" borderId="6" xfId="0" applyNumberFormat="1" applyFont="1" applyBorder="1"/>
    <xf numFmtId="172" fontId="30" fillId="0" borderId="40" xfId="0" applyNumberFormat="1" applyFont="1" applyBorder="1"/>
    <xf numFmtId="172" fontId="39" fillId="25" borderId="6" xfId="0" applyNumberFormat="1" applyFont="1" applyFill="1" applyBorder="1"/>
    <xf numFmtId="177" fontId="0" fillId="25" borderId="6" xfId="0" applyNumberFormat="1" applyFill="1" applyBorder="1"/>
    <xf numFmtId="166" fontId="55" fillId="25" borderId="0" xfId="10" applyFont="1" applyFill="1"/>
    <xf numFmtId="2" fontId="30" fillId="30" borderId="6" xfId="10" applyNumberFormat="1" applyFont="1" applyFill="1" applyBorder="1" applyAlignment="1">
      <alignment horizontal="center"/>
    </xf>
    <xf numFmtId="166" fontId="1" fillId="0" borderId="18" xfId="10" applyBorder="1"/>
    <xf numFmtId="166" fontId="1" fillId="0" borderId="20" xfId="10" applyBorder="1"/>
    <xf numFmtId="166" fontId="1" fillId="0" borderId="44" xfId="10" applyBorder="1"/>
    <xf numFmtId="166" fontId="1" fillId="0" borderId="45" xfId="10" applyBorder="1"/>
    <xf numFmtId="166" fontId="1" fillId="0" borderId="36" xfId="10" applyBorder="1"/>
    <xf numFmtId="166" fontId="1" fillId="0" borderId="22" xfId="10" applyBorder="1"/>
    <xf numFmtId="166" fontId="1" fillId="0" borderId="47" xfId="10" applyBorder="1"/>
    <xf numFmtId="166" fontId="1" fillId="0" borderId="48" xfId="10" applyBorder="1"/>
    <xf numFmtId="165" fontId="1" fillId="0" borderId="0" xfId="10" applyNumberFormat="1"/>
    <xf numFmtId="166" fontId="1" fillId="0" borderId="0" xfId="10" applyAlignment="1">
      <alignment horizontal="right"/>
    </xf>
    <xf numFmtId="1" fontId="1" fillId="31" borderId="6" xfId="10" applyNumberFormat="1" applyFill="1" applyBorder="1" applyAlignment="1">
      <alignment horizontal="center"/>
    </xf>
    <xf numFmtId="165" fontId="1" fillId="0" borderId="36" xfId="10" applyNumberFormat="1" applyBorder="1"/>
    <xf numFmtId="2" fontId="1" fillId="31" borderId="6" xfId="10" applyNumberFormat="1" applyFill="1" applyBorder="1" applyAlignment="1">
      <alignment horizontal="center"/>
    </xf>
    <xf numFmtId="166" fontId="7" fillId="25" borderId="0" xfId="10" applyFont="1" applyFill="1"/>
    <xf numFmtId="166" fontId="1" fillId="0" borderId="51" xfId="10" applyBorder="1"/>
    <xf numFmtId="2" fontId="7" fillId="25" borderId="0" xfId="10" applyNumberFormat="1" applyFont="1" applyFill="1"/>
    <xf numFmtId="43" fontId="1" fillId="0" borderId="0" xfId="10" applyNumberFormat="1"/>
    <xf numFmtId="166" fontId="49" fillId="0" borderId="0" xfId="10" applyFont="1" applyAlignment="1">
      <alignment horizontal="justify" wrapText="1"/>
    </xf>
    <xf numFmtId="166" fontId="2" fillId="0" borderId="1" xfId="12"/>
    <xf numFmtId="166" fontId="1" fillId="0" borderId="0" xfId="10" quotePrefix="1"/>
    <xf numFmtId="2" fontId="8" fillId="0" borderId="0" xfId="10" applyNumberFormat="1" applyFont="1"/>
    <xf numFmtId="3" fontId="1" fillId="0" borderId="0" xfId="10" applyNumberFormat="1"/>
    <xf numFmtId="177" fontId="1" fillId="0" borderId="0" xfId="10" applyNumberFormat="1"/>
    <xf numFmtId="178" fontId="47" fillId="0" borderId="6" xfId="0" applyNumberFormat="1" applyFont="1" applyBorder="1"/>
    <xf numFmtId="0" fontId="39" fillId="0" borderId="6" xfId="0" applyFont="1" applyBorder="1" applyAlignment="1">
      <alignment wrapText="1"/>
    </xf>
    <xf numFmtId="0" fontId="4" fillId="34" borderId="3" xfId="4" applyFill="1" applyAlignment="1">
      <alignment wrapText="1"/>
    </xf>
    <xf numFmtId="0" fontId="0" fillId="34" borderId="6" xfId="0" applyFill="1" applyBorder="1" applyAlignment="1">
      <alignment wrapText="1"/>
    </xf>
    <xf numFmtId="172" fontId="0" fillId="34" borderId="6" xfId="0" applyNumberFormat="1" applyFill="1" applyBorder="1" applyAlignment="1">
      <alignment wrapText="1"/>
    </xf>
    <xf numFmtId="0" fontId="4" fillId="35" borderId="3" xfId="4" applyFill="1" applyAlignment="1">
      <alignment wrapText="1"/>
    </xf>
    <xf numFmtId="178" fontId="0" fillId="35" borderId="6" xfId="0" applyNumberFormat="1" applyFill="1" applyBorder="1" applyAlignment="1">
      <alignment wrapText="1"/>
    </xf>
    <xf numFmtId="178" fontId="0" fillId="34" borderId="6" xfId="0" applyNumberFormat="1" applyFill="1" applyBorder="1"/>
    <xf numFmtId="178" fontId="0" fillId="34" borderId="6" xfId="0" applyNumberFormat="1" applyFill="1" applyBorder="1" applyAlignment="1">
      <alignment wrapText="1"/>
    </xf>
    <xf numFmtId="0" fontId="8" fillId="0" borderId="0" xfId="0" applyFont="1" applyAlignment="1">
      <alignment wrapText="1"/>
    </xf>
    <xf numFmtId="0" fontId="3" fillId="0" borderId="2" xfId="3" applyAlignment="1">
      <alignment wrapText="1"/>
    </xf>
    <xf numFmtId="0" fontId="8" fillId="25" borderId="6" xfId="0" applyFont="1" applyFill="1" applyBorder="1"/>
    <xf numFmtId="0" fontId="56" fillId="0" borderId="6" xfId="0" applyFont="1" applyBorder="1"/>
    <xf numFmtId="0" fontId="39" fillId="35" borderId="6" xfId="0" applyFont="1" applyFill="1" applyBorder="1"/>
    <xf numFmtId="166" fontId="24" fillId="0" borderId="0" xfId="11" applyAlignment="1" applyProtection="1"/>
    <xf numFmtId="0" fontId="0" fillId="0" borderId="0" xfId="1" applyNumberFormat="1" applyFont="1"/>
    <xf numFmtId="9" fontId="0" fillId="0" borderId="0" xfId="1" applyFont="1" applyAlignment="1">
      <alignment horizontal="center"/>
    </xf>
    <xf numFmtId="0" fontId="30" fillId="35" borderId="6" xfId="0" applyFont="1" applyFill="1" applyBorder="1"/>
    <xf numFmtId="2" fontId="30" fillId="35" borderId="6" xfId="0" applyNumberFormat="1" applyFont="1" applyFill="1" applyBorder="1"/>
    <xf numFmtId="172" fontId="30" fillId="34" borderId="6" xfId="0" applyNumberFormat="1" applyFont="1" applyFill="1" applyBorder="1"/>
    <xf numFmtId="172" fontId="39" fillId="34" borderId="6" xfId="0" applyNumberFormat="1" applyFont="1" applyFill="1" applyBorder="1"/>
    <xf numFmtId="4" fontId="30" fillId="35" borderId="40" xfId="0" applyNumberFormat="1" applyFont="1" applyFill="1" applyBorder="1"/>
    <xf numFmtId="4" fontId="30" fillId="35" borderId="6" xfId="0" applyNumberFormat="1" applyFont="1" applyFill="1" applyBorder="1"/>
    <xf numFmtId="0" fontId="30" fillId="34" borderId="6" xfId="0" applyFont="1" applyFill="1" applyBorder="1"/>
    <xf numFmtId="178" fontId="30" fillId="34" borderId="6" xfId="0" applyNumberFormat="1" applyFont="1" applyFill="1" applyBorder="1"/>
    <xf numFmtId="0" fontId="57" fillId="0" borderId="6" xfId="5" applyFont="1" applyBorder="1"/>
    <xf numFmtId="0" fontId="58" fillId="0" borderId="0" xfId="28" applyAlignment="1">
      <alignment horizontal="left" vertical="top"/>
    </xf>
    <xf numFmtId="0" fontId="8" fillId="0" borderId="53" xfId="10" applyNumberFormat="1" applyFont="1" applyBorder="1"/>
    <xf numFmtId="0" fontId="58" fillId="0" borderId="54" xfId="28" applyBorder="1" applyAlignment="1">
      <alignment horizontal="left" vertical="top"/>
    </xf>
    <xf numFmtId="0" fontId="58" fillId="0" borderId="55" xfId="28" applyBorder="1" applyAlignment="1">
      <alignment horizontal="left" vertical="top"/>
    </xf>
    <xf numFmtId="0" fontId="59" fillId="0" borderId="56" xfId="28" applyFont="1" applyBorder="1" applyAlignment="1">
      <alignment horizontal="left" vertical="top"/>
    </xf>
    <xf numFmtId="0" fontId="60" fillId="0" borderId="57" xfId="28" applyFont="1" applyBorder="1" applyAlignment="1">
      <alignment horizontal="left" vertical="top"/>
    </xf>
    <xf numFmtId="0" fontId="59" fillId="0" borderId="57" xfId="28" applyFont="1" applyBorder="1" applyAlignment="1">
      <alignment horizontal="left" vertical="top"/>
    </xf>
    <xf numFmtId="0" fontId="59" fillId="0" borderId="58" xfId="28" applyFont="1" applyBorder="1" applyAlignment="1">
      <alignment horizontal="left" vertical="top"/>
    </xf>
    <xf numFmtId="182" fontId="61" fillId="0" borderId="59" xfId="10" applyNumberFormat="1" applyFont="1" applyBorder="1" applyAlignment="1">
      <alignment horizontal="center"/>
    </xf>
    <xf numFmtId="0" fontId="58" fillId="0" borderId="60" xfId="28" applyBorder="1" applyAlignment="1">
      <alignment horizontal="left" vertical="top"/>
    </xf>
    <xf numFmtId="166" fontId="62" fillId="0" borderId="0" xfId="10" applyFont="1" applyAlignment="1">
      <alignment horizontal="right"/>
    </xf>
    <xf numFmtId="174" fontId="63" fillId="28" borderId="41" xfId="26" applyNumberFormat="1" applyFont="1"/>
    <xf numFmtId="166" fontId="62" fillId="0" borderId="0" xfId="10" applyFont="1"/>
    <xf numFmtId="0" fontId="59" fillId="0" borderId="0" xfId="28" applyFont="1" applyAlignment="1">
      <alignment horizontal="left" vertical="top"/>
    </xf>
    <xf numFmtId="0" fontId="59" fillId="0" borderId="61" xfId="28" applyFont="1" applyBorder="1" applyAlignment="1">
      <alignment horizontal="left" vertical="top"/>
    </xf>
    <xf numFmtId="0" fontId="65" fillId="26" borderId="62" xfId="29" applyFont="1" applyFill="1" applyBorder="1" applyProtection="1">
      <protection locked="0"/>
    </xf>
    <xf numFmtId="0" fontId="64" fillId="0" borderId="6" xfId="29" applyBorder="1"/>
    <xf numFmtId="10" fontId="64" fillId="36" borderId="6" xfId="29" applyNumberFormat="1" applyFill="1" applyBorder="1" applyProtection="1">
      <protection locked="0"/>
    </xf>
    <xf numFmtId="10" fontId="64" fillId="36" borderId="0" xfId="29" applyNumberFormat="1" applyFill="1" applyProtection="1">
      <protection locked="0"/>
    </xf>
    <xf numFmtId="0" fontId="64" fillId="23" borderId="0" xfId="29" applyFill="1"/>
    <xf numFmtId="0" fontId="64" fillId="23" borderId="60" xfId="29" applyFill="1" applyBorder="1"/>
    <xf numFmtId="0" fontId="66" fillId="0" borderId="59" xfId="28" applyFont="1" applyBorder="1" applyAlignment="1">
      <alignment horizontal="left" vertical="top"/>
    </xf>
    <xf numFmtId="0" fontId="66" fillId="0" borderId="0" xfId="28" applyFont="1" applyAlignment="1">
      <alignment horizontal="left" vertical="top"/>
    </xf>
    <xf numFmtId="0" fontId="67" fillId="0" borderId="0" xfId="28" applyFont="1" applyAlignment="1">
      <alignment horizontal="left" vertical="top"/>
    </xf>
    <xf numFmtId="0" fontId="68" fillId="23" borderId="0" xfId="29" applyFont="1" applyFill="1"/>
    <xf numFmtId="0" fontId="68" fillId="23" borderId="61" xfId="29" applyFont="1" applyFill="1" applyBorder="1"/>
    <xf numFmtId="0" fontId="65" fillId="26" borderId="6" xfId="29" applyFont="1" applyFill="1" applyBorder="1" applyProtection="1">
      <protection locked="0"/>
    </xf>
    <xf numFmtId="0" fontId="69" fillId="37" borderId="63" xfId="29" applyFont="1" applyFill="1" applyBorder="1"/>
    <xf numFmtId="0" fontId="69" fillId="37" borderId="64" xfId="29" applyFont="1" applyFill="1" applyBorder="1"/>
    <xf numFmtId="0" fontId="19" fillId="25" borderId="64" xfId="29" applyFont="1" applyFill="1" applyBorder="1"/>
    <xf numFmtId="0" fontId="19" fillId="25" borderId="64" xfId="29" applyFont="1" applyFill="1" applyBorder="1" applyAlignment="1">
      <alignment horizontal="center"/>
    </xf>
    <xf numFmtId="0" fontId="69" fillId="37" borderId="65" xfId="29" applyFont="1" applyFill="1" applyBorder="1"/>
    <xf numFmtId="0" fontId="70" fillId="37" borderId="59" xfId="29" applyFont="1" applyFill="1" applyBorder="1"/>
    <xf numFmtId="0" fontId="70" fillId="37" borderId="0" xfId="29" applyFont="1" applyFill="1"/>
    <xf numFmtId="0" fontId="70" fillId="37" borderId="61" xfId="29" applyFont="1" applyFill="1" applyBorder="1"/>
    <xf numFmtId="0" fontId="71" fillId="38" borderId="66" xfId="29" applyFont="1" applyFill="1" applyBorder="1"/>
    <xf numFmtId="0" fontId="71" fillId="38" borderId="11" xfId="29" applyFont="1" applyFill="1" applyBorder="1" applyAlignment="1">
      <alignment wrapText="1"/>
    </xf>
    <xf numFmtId="0" fontId="71" fillId="25" borderId="11" xfId="29" applyFont="1" applyFill="1" applyBorder="1" applyAlignment="1">
      <alignment wrapText="1"/>
    </xf>
    <xf numFmtId="0" fontId="71" fillId="25" borderId="11" xfId="29" applyFont="1" applyFill="1" applyBorder="1" applyAlignment="1">
      <alignment horizontal="center" wrapText="1"/>
    </xf>
    <xf numFmtId="0" fontId="71" fillId="38" borderId="67" xfId="29" applyFont="1" applyFill="1" applyBorder="1" applyAlignment="1">
      <alignment wrapText="1"/>
    </xf>
    <xf numFmtId="0" fontId="59" fillId="0" borderId="59" xfId="28" applyFont="1" applyBorder="1" applyAlignment="1">
      <alignment horizontal="left" vertical="top"/>
    </xf>
    <xf numFmtId="0" fontId="71" fillId="38" borderId="13" xfId="29" applyFont="1" applyFill="1" applyBorder="1"/>
    <xf numFmtId="0" fontId="71" fillId="38" borderId="40" xfId="29" applyFont="1" applyFill="1" applyBorder="1"/>
    <xf numFmtId="0" fontId="72" fillId="0" borderId="62" xfId="29" applyFont="1" applyBorder="1" applyAlignment="1">
      <alignment horizontal="left" vertical="top"/>
    </xf>
    <xf numFmtId="183" fontId="73" fillId="0" borderId="64" xfId="29" applyNumberFormat="1" applyFont="1" applyBorder="1"/>
    <xf numFmtId="183" fontId="74" fillId="0" borderId="64" xfId="29" applyNumberFormat="1" applyFont="1" applyBorder="1"/>
    <xf numFmtId="183" fontId="73" fillId="0" borderId="65" xfId="29" applyNumberFormat="1" applyFont="1" applyBorder="1"/>
    <xf numFmtId="184" fontId="68" fillId="0" borderId="68" xfId="29" applyNumberFormat="1" applyFont="1" applyBorder="1"/>
    <xf numFmtId="184" fontId="68" fillId="0" borderId="19" xfId="29" applyNumberFormat="1" applyFont="1" applyBorder="1"/>
    <xf numFmtId="184" fontId="68" fillId="0" borderId="69" xfId="29" applyNumberFormat="1" applyFont="1" applyBorder="1"/>
    <xf numFmtId="2" fontId="0" fillId="0" borderId="0" xfId="30" applyNumberFormat="1" applyFont="1" applyFill="1" applyBorder="1" applyAlignment="1">
      <alignment horizontal="left" vertical="top"/>
    </xf>
    <xf numFmtId="0" fontId="65" fillId="0" borderId="6" xfId="29" applyFont="1" applyBorder="1"/>
    <xf numFmtId="4" fontId="64" fillId="0" borderId="64" xfId="29" applyNumberFormat="1" applyBorder="1"/>
    <xf numFmtId="2" fontId="58" fillId="0" borderId="0" xfId="28" applyNumberFormat="1" applyAlignment="1">
      <alignment horizontal="left" vertical="top"/>
    </xf>
    <xf numFmtId="184" fontId="68" fillId="0" borderId="59" xfId="29" applyNumberFormat="1" applyFont="1" applyBorder="1"/>
    <xf numFmtId="184" fontId="68" fillId="0" borderId="0" xfId="29" applyNumberFormat="1" applyFont="1"/>
    <xf numFmtId="184" fontId="68" fillId="0" borderId="61" xfId="29" applyNumberFormat="1" applyFont="1" applyBorder="1"/>
    <xf numFmtId="9" fontId="58" fillId="0" borderId="0" xfId="28" applyNumberFormat="1" applyAlignment="1">
      <alignment horizontal="left" vertical="top"/>
    </xf>
    <xf numFmtId="183" fontId="73" fillId="0" borderId="8" xfId="29" applyNumberFormat="1" applyFont="1" applyBorder="1"/>
    <xf numFmtId="183" fontId="73" fillId="0" borderId="70" xfId="29" applyNumberFormat="1" applyFont="1" applyBorder="1"/>
    <xf numFmtId="4" fontId="64" fillId="0" borderId="8" xfId="29" applyNumberFormat="1" applyBorder="1"/>
    <xf numFmtId="0" fontId="72" fillId="0" borderId="59" xfId="29" applyFont="1" applyBorder="1" applyAlignment="1">
      <alignment horizontal="left" vertical="top"/>
    </xf>
    <xf numFmtId="183" fontId="73" fillId="0" borderId="0" xfId="29" applyNumberFormat="1" applyFont="1"/>
    <xf numFmtId="183" fontId="74" fillId="0" borderId="0" xfId="29" applyNumberFormat="1" applyFont="1"/>
    <xf numFmtId="183" fontId="73" fillId="0" borderId="60" xfId="29" applyNumberFormat="1" applyFont="1" applyBorder="1"/>
    <xf numFmtId="183" fontId="68" fillId="0" borderId="59" xfId="29" applyNumberFormat="1" applyFont="1" applyBorder="1"/>
    <xf numFmtId="183" fontId="68" fillId="0" borderId="0" xfId="29" applyNumberFormat="1" applyFont="1"/>
    <xf numFmtId="183" fontId="68" fillId="0" borderId="61" xfId="29" applyNumberFormat="1" applyFont="1" applyBorder="1"/>
    <xf numFmtId="0" fontId="65" fillId="0" borderId="0" xfId="29" applyFont="1"/>
    <xf numFmtId="4" fontId="64" fillId="0" borderId="0" xfId="29" applyNumberFormat="1"/>
    <xf numFmtId="0" fontId="65" fillId="26" borderId="6" xfId="31" applyFont="1" applyFill="1" applyBorder="1" applyProtection="1">
      <protection locked="0"/>
    </xf>
    <xf numFmtId="0" fontId="69" fillId="37" borderId="63" xfId="32" applyFont="1" applyFill="1" applyBorder="1"/>
    <xf numFmtId="0" fontId="75" fillId="37" borderId="64" xfId="29" applyFont="1" applyFill="1" applyBorder="1"/>
    <xf numFmtId="0" fontId="69" fillId="37" borderId="64" xfId="31" applyFont="1" applyFill="1" applyBorder="1"/>
    <xf numFmtId="0" fontId="76" fillId="37" borderId="71" xfId="33" applyFont="1" applyFill="1" applyBorder="1" applyAlignment="1">
      <alignment horizontal="left" vertical="top" wrapText="1"/>
    </xf>
    <xf numFmtId="0" fontId="76" fillId="37" borderId="71" xfId="34" applyFont="1" applyFill="1" applyBorder="1" applyAlignment="1">
      <alignment horizontal="left" vertical="top" wrapText="1"/>
    </xf>
    <xf numFmtId="0" fontId="76" fillId="37" borderId="71" xfId="35" applyFont="1" applyFill="1" applyBorder="1" applyAlignment="1">
      <alignment horizontal="left" vertical="top" wrapText="1"/>
    </xf>
    <xf numFmtId="0" fontId="76" fillId="37" borderId="71" xfId="36" applyFont="1" applyFill="1" applyBorder="1" applyAlignment="1">
      <alignment horizontal="left" vertical="top" wrapText="1"/>
    </xf>
    <xf numFmtId="0" fontId="76" fillId="37" borderId="71" xfId="37" applyFont="1" applyFill="1" applyBorder="1" applyAlignment="1">
      <alignment horizontal="left" vertical="top" wrapText="1"/>
    </xf>
    <xf numFmtId="0" fontId="71" fillId="38" borderId="66" xfId="32" applyFont="1" applyFill="1" applyBorder="1"/>
    <xf numFmtId="0" fontId="71" fillId="38" borderId="11" xfId="38" applyFont="1" applyFill="1" applyBorder="1" applyAlignment="1">
      <alignment wrapText="1"/>
    </xf>
    <xf numFmtId="0" fontId="71" fillId="38" borderId="11" xfId="39" applyFont="1" applyFill="1" applyBorder="1" applyAlignment="1">
      <alignment wrapText="1"/>
    </xf>
    <xf numFmtId="0" fontId="74" fillId="38" borderId="11" xfId="39" applyFont="1" applyFill="1" applyBorder="1" applyAlignment="1">
      <alignment wrapText="1"/>
    </xf>
    <xf numFmtId="0" fontId="71" fillId="38" borderId="11" xfId="40" applyFont="1" applyFill="1" applyBorder="1" applyAlignment="1">
      <alignment wrapText="1"/>
    </xf>
    <xf numFmtId="0" fontId="71" fillId="38" borderId="11" xfId="41" applyFont="1" applyFill="1" applyBorder="1" applyAlignment="1">
      <alignment wrapText="1"/>
    </xf>
    <xf numFmtId="0" fontId="71" fillId="38" borderId="67" xfId="42" applyFont="1" applyFill="1" applyBorder="1" applyAlignment="1">
      <alignment wrapText="1"/>
    </xf>
    <xf numFmtId="0" fontId="71" fillId="38" borderId="13" xfId="31" applyFont="1" applyFill="1" applyBorder="1"/>
    <xf numFmtId="0" fontId="71" fillId="38" borderId="11" xfId="33" applyFont="1" applyFill="1" applyBorder="1"/>
    <xf numFmtId="0" fontId="71" fillId="38" borderId="11" xfId="34" applyFont="1" applyFill="1" applyBorder="1"/>
    <xf numFmtId="0" fontId="71" fillId="38" borderId="11" xfId="35" applyFont="1" applyFill="1" applyBorder="1"/>
    <xf numFmtId="0" fontId="71" fillId="38" borderId="11" xfId="36" applyFont="1" applyFill="1" applyBorder="1"/>
    <xf numFmtId="0" fontId="71" fillId="38" borderId="11" xfId="37" applyFont="1" applyFill="1" applyBorder="1"/>
    <xf numFmtId="0" fontId="72" fillId="0" borderId="62" xfId="32" applyFont="1" applyBorder="1" applyAlignment="1">
      <alignment horizontal="left" vertical="top"/>
    </xf>
    <xf numFmtId="183" fontId="73" fillId="0" borderId="64" xfId="38" applyNumberFormat="1" applyFont="1" applyBorder="1"/>
    <xf numFmtId="183" fontId="73" fillId="0" borderId="64" xfId="39" applyNumberFormat="1" applyFont="1" applyBorder="1"/>
    <xf numFmtId="183" fontId="73" fillId="0" borderId="64" xfId="40" applyNumberFormat="1" applyFont="1" applyBorder="1"/>
    <xf numFmtId="183" fontId="73" fillId="0" borderId="64" xfId="41" applyNumberFormat="1" applyFont="1" applyBorder="1"/>
    <xf numFmtId="183" fontId="73" fillId="0" borderId="65" xfId="42" applyNumberFormat="1" applyFont="1" applyBorder="1"/>
    <xf numFmtId="0" fontId="65" fillId="0" borderId="6" xfId="31" applyFont="1" applyBorder="1"/>
    <xf numFmtId="4" fontId="73" fillId="0" borderId="64" xfId="33" applyNumberFormat="1" applyFont="1" applyBorder="1"/>
    <xf numFmtId="4" fontId="73" fillId="0" borderId="64" xfId="34" applyNumberFormat="1" applyFont="1" applyBorder="1"/>
    <xf numFmtId="4" fontId="73" fillId="0" borderId="64" xfId="35" applyNumberFormat="1" applyFont="1" applyBorder="1"/>
    <xf numFmtId="4" fontId="73" fillId="0" borderId="64" xfId="36" applyNumberFormat="1" applyFont="1" applyBorder="1"/>
    <xf numFmtId="4" fontId="73" fillId="0" borderId="64" xfId="37" applyNumberFormat="1" applyFont="1" applyBorder="1"/>
    <xf numFmtId="0" fontId="58" fillId="0" borderId="59" xfId="28" applyBorder="1" applyAlignment="1">
      <alignment horizontal="left" vertical="top"/>
    </xf>
    <xf numFmtId="0" fontId="77" fillId="0" borderId="0" xfId="28" applyFont="1" applyAlignment="1">
      <alignment horizontal="left" vertical="top"/>
    </xf>
    <xf numFmtId="10" fontId="78" fillId="36" borderId="0" xfId="29" applyNumberFormat="1" applyFont="1" applyFill="1" applyProtection="1">
      <protection locked="0"/>
    </xf>
    <xf numFmtId="0" fontId="74" fillId="38" borderId="11" xfId="29" applyFont="1" applyFill="1" applyBorder="1" applyAlignment="1">
      <alignment wrapText="1"/>
    </xf>
    <xf numFmtId="166" fontId="1" fillId="0" borderId="0" xfId="43"/>
    <xf numFmtId="0" fontId="1" fillId="0" borderId="0" xfId="43" applyNumberFormat="1" applyAlignment="1">
      <alignment horizontal="right"/>
    </xf>
    <xf numFmtId="0" fontId="1" fillId="0" borderId="0" xfId="43" applyNumberFormat="1"/>
    <xf numFmtId="185" fontId="0" fillId="0" borderId="0" xfId="44" applyFont="1" applyFill="1" applyBorder="1" applyAlignment="1">
      <alignment horizontal="left" vertical="top"/>
    </xf>
    <xf numFmtId="2" fontId="80" fillId="0" borderId="0" xfId="28" applyNumberFormat="1" applyFont="1" applyAlignment="1">
      <alignment horizontal="left" vertical="top"/>
    </xf>
    <xf numFmtId="0" fontId="68" fillId="23" borderId="59" xfId="29" applyFont="1" applyFill="1" applyBorder="1"/>
    <xf numFmtId="0" fontId="81" fillId="0" borderId="62" xfId="29" applyFont="1" applyBorder="1" applyAlignment="1">
      <alignment horizontal="left" vertical="top"/>
    </xf>
    <xf numFmtId="0" fontId="81" fillId="0" borderId="6" xfId="29" applyFont="1" applyBorder="1" applyAlignment="1">
      <alignment horizontal="left" vertical="top"/>
    </xf>
    <xf numFmtId="4" fontId="81" fillId="0" borderId="64" xfId="29" applyNumberFormat="1" applyFont="1" applyBorder="1"/>
    <xf numFmtId="0" fontId="82" fillId="37" borderId="72" xfId="29" applyFont="1" applyFill="1" applyBorder="1"/>
    <xf numFmtId="0" fontId="71" fillId="38" borderId="40" xfId="29" applyFont="1" applyFill="1" applyBorder="1" applyAlignment="1">
      <alignment wrapText="1"/>
    </xf>
    <xf numFmtId="0" fontId="74" fillId="38" borderId="40" xfId="29" applyFont="1" applyFill="1" applyBorder="1" applyAlignment="1">
      <alignment wrapText="1"/>
    </xf>
    <xf numFmtId="0" fontId="83" fillId="0" borderId="71" xfId="29" applyFont="1" applyBorder="1"/>
    <xf numFmtId="4" fontId="10" fillId="0" borderId="6" xfId="29" applyNumberFormat="1" applyFont="1" applyBorder="1" applyAlignment="1">
      <alignment horizontal="right" vertical="top" wrapText="1"/>
    </xf>
    <xf numFmtId="183" fontId="73" fillId="39" borderId="64" xfId="29" applyNumberFormat="1" applyFont="1" applyFill="1" applyBorder="1"/>
    <xf numFmtId="183" fontId="74" fillId="39" borderId="64" xfId="29" applyNumberFormat="1" applyFont="1" applyFill="1" applyBorder="1"/>
    <xf numFmtId="183" fontId="73" fillId="39" borderId="65" xfId="29" applyNumberFormat="1" applyFont="1" applyFill="1" applyBorder="1"/>
    <xf numFmtId="4" fontId="64" fillId="39" borderId="64" xfId="29" applyNumberFormat="1" applyFill="1" applyBorder="1"/>
    <xf numFmtId="0" fontId="65" fillId="26" borderId="62" xfId="45" applyFont="1" applyFill="1" applyBorder="1" applyProtection="1">
      <protection locked="0"/>
    </xf>
    <xf numFmtId="0" fontId="64" fillId="0" borderId="6" xfId="46" applyBorder="1"/>
    <xf numFmtId="10" fontId="64" fillId="36" borderId="6" xfId="46" applyNumberFormat="1" applyFill="1" applyBorder="1" applyProtection="1">
      <protection locked="0"/>
    </xf>
    <xf numFmtId="10" fontId="78" fillId="36" borderId="0" xfId="46" applyNumberFormat="1" applyFont="1" applyFill="1" applyProtection="1">
      <protection locked="0"/>
    </xf>
    <xf numFmtId="0" fontId="65" fillId="26" borderId="6" xfId="47" applyFont="1" applyFill="1" applyBorder="1" applyProtection="1">
      <protection locked="0"/>
    </xf>
    <xf numFmtId="0" fontId="69" fillId="37" borderId="63" xfId="45" applyFont="1" applyFill="1" applyBorder="1"/>
    <xf numFmtId="0" fontId="69" fillId="37" borderId="64" xfId="47" applyFont="1" applyFill="1" applyBorder="1"/>
    <xf numFmtId="0" fontId="71" fillId="38" borderId="66" xfId="45" applyFont="1" applyFill="1" applyBorder="1"/>
    <xf numFmtId="0" fontId="71" fillId="38" borderId="11" xfId="48" applyFont="1" applyFill="1" applyBorder="1" applyAlignment="1">
      <alignment wrapText="1"/>
    </xf>
    <xf numFmtId="0" fontId="71" fillId="38" borderId="11" xfId="49" applyFont="1" applyFill="1" applyBorder="1" applyAlignment="1">
      <alignment wrapText="1"/>
    </xf>
    <xf numFmtId="0" fontId="74" fillId="38" borderId="11" xfId="49" applyFont="1" applyFill="1" applyBorder="1" applyAlignment="1">
      <alignment wrapText="1"/>
    </xf>
    <xf numFmtId="0" fontId="71" fillId="38" borderId="11" xfId="50" applyFont="1" applyFill="1" applyBorder="1" applyAlignment="1">
      <alignment wrapText="1"/>
    </xf>
    <xf numFmtId="0" fontId="71" fillId="38" borderId="11" xfId="51" applyFont="1" applyFill="1" applyBorder="1" applyAlignment="1">
      <alignment wrapText="1"/>
    </xf>
    <xf numFmtId="0" fontId="71" fillId="38" borderId="67" xfId="52" applyFont="1" applyFill="1" applyBorder="1" applyAlignment="1">
      <alignment wrapText="1"/>
    </xf>
    <xf numFmtId="0" fontId="71" fillId="38" borderId="13" xfId="47" applyFont="1" applyFill="1" applyBorder="1"/>
    <xf numFmtId="0" fontId="71" fillId="38" borderId="40" xfId="53" applyFont="1" applyFill="1" applyBorder="1"/>
    <xf numFmtId="0" fontId="71" fillId="38" borderId="40" xfId="54" applyFont="1" applyFill="1" applyBorder="1"/>
    <xf numFmtId="0" fontId="71" fillId="38" borderId="40" xfId="55" applyFont="1" applyFill="1" applyBorder="1"/>
    <xf numFmtId="0" fontId="71" fillId="38" borderId="40" xfId="56" applyFont="1" applyFill="1" applyBorder="1"/>
    <xf numFmtId="0" fontId="72" fillId="0" borderId="62" xfId="45" applyFont="1" applyBorder="1" applyAlignment="1">
      <alignment horizontal="left" vertical="top"/>
    </xf>
    <xf numFmtId="183" fontId="73" fillId="0" borderId="64" xfId="48" applyNumberFormat="1" applyFont="1" applyBorder="1"/>
    <xf numFmtId="183" fontId="73" fillId="0" borderId="64" xfId="49" applyNumberFormat="1" applyFont="1" applyBorder="1"/>
    <xf numFmtId="183" fontId="73" fillId="0" borderId="64" xfId="50" applyNumberFormat="1" applyFont="1" applyBorder="1"/>
    <xf numFmtId="183" fontId="73" fillId="0" borderId="64" xfId="51" applyNumberFormat="1" applyFont="1" applyBorder="1"/>
    <xf numFmtId="183" fontId="73" fillId="0" borderId="65" xfId="52" applyNumberFormat="1" applyFont="1" applyBorder="1"/>
    <xf numFmtId="0" fontId="65" fillId="0" borderId="6" xfId="47" applyFont="1" applyBorder="1"/>
    <xf numFmtId="4" fontId="64" fillId="0" borderId="64" xfId="53" applyNumberFormat="1" applyBorder="1"/>
    <xf numFmtId="4" fontId="64" fillId="0" borderId="64" xfId="54" applyNumberFormat="1" applyBorder="1"/>
    <xf numFmtId="4" fontId="64" fillId="0" borderId="64" xfId="57" applyNumberFormat="1" applyBorder="1"/>
    <xf numFmtId="4" fontId="64" fillId="0" borderId="64" xfId="55" applyNumberFormat="1" applyBorder="1"/>
    <xf numFmtId="4" fontId="64" fillId="0" borderId="64" xfId="56" applyNumberFormat="1" applyBorder="1"/>
    <xf numFmtId="183" fontId="73" fillId="39" borderId="64" xfId="48" applyNumberFormat="1" applyFont="1" applyFill="1" applyBorder="1"/>
    <xf numFmtId="183" fontId="73" fillId="39" borderId="64" xfId="49" applyNumberFormat="1" applyFont="1" applyFill="1" applyBorder="1"/>
    <xf numFmtId="183" fontId="74" fillId="39" borderId="64" xfId="49" applyNumberFormat="1" applyFont="1" applyFill="1" applyBorder="1"/>
    <xf numFmtId="183" fontId="73" fillId="39" borderId="64" xfId="50" applyNumberFormat="1" applyFont="1" applyFill="1" applyBorder="1"/>
    <xf numFmtId="183" fontId="73" fillId="39" borderId="64" xfId="51" applyNumberFormat="1" applyFont="1" applyFill="1" applyBorder="1"/>
    <xf numFmtId="183" fontId="73" fillId="39" borderId="65" xfId="52" applyNumberFormat="1" applyFont="1" applyFill="1" applyBorder="1"/>
    <xf numFmtId="4" fontId="64" fillId="39" borderId="64" xfId="53" applyNumberFormat="1" applyFill="1" applyBorder="1"/>
    <xf numFmtId="4" fontId="64" fillId="39" borderId="64" xfId="54" applyNumberFormat="1" applyFill="1" applyBorder="1"/>
    <xf numFmtId="4" fontId="64" fillId="39" borderId="64" xfId="57" applyNumberFormat="1" applyFill="1" applyBorder="1"/>
    <xf numFmtId="4" fontId="64" fillId="39" borderId="64" xfId="55" applyNumberFormat="1" applyFill="1" applyBorder="1"/>
    <xf numFmtId="4" fontId="64" fillId="39" borderId="64" xfId="56" applyNumberFormat="1" applyFill="1" applyBorder="1"/>
    <xf numFmtId="0" fontId="65" fillId="26" borderId="62" xfId="46" applyFont="1" applyFill="1" applyBorder="1" applyProtection="1">
      <protection locked="0"/>
    </xf>
    <xf numFmtId="0" fontId="65" fillId="26" borderId="6" xfId="58" applyFont="1" applyFill="1" applyBorder="1" applyProtection="1">
      <protection locked="0"/>
    </xf>
    <xf numFmtId="0" fontId="69" fillId="37" borderId="63" xfId="59" applyFont="1" applyFill="1" applyBorder="1"/>
    <xf numFmtId="0" fontId="69" fillId="37" borderId="64" xfId="58" applyFont="1" applyFill="1" applyBorder="1"/>
    <xf numFmtId="0" fontId="71" fillId="38" borderId="66" xfId="59" applyFont="1" applyFill="1" applyBorder="1"/>
    <xf numFmtId="0" fontId="71" fillId="38" borderId="11" xfId="60" applyFont="1" applyFill="1" applyBorder="1" applyAlignment="1">
      <alignment wrapText="1"/>
    </xf>
    <xf numFmtId="0" fontId="71" fillId="38" borderId="11" xfId="61" applyFont="1" applyFill="1" applyBorder="1" applyAlignment="1">
      <alignment wrapText="1"/>
    </xf>
    <xf numFmtId="0" fontId="74" fillId="38" borderId="11" xfId="61" applyFont="1" applyFill="1" applyBorder="1" applyAlignment="1">
      <alignment wrapText="1"/>
    </xf>
    <xf numFmtId="0" fontId="71" fillId="38" borderId="11" xfId="62" applyFont="1" applyFill="1" applyBorder="1" applyAlignment="1">
      <alignment wrapText="1"/>
    </xf>
    <xf numFmtId="0" fontId="71" fillId="38" borderId="11" xfId="63" applyFont="1" applyFill="1" applyBorder="1" applyAlignment="1">
      <alignment wrapText="1"/>
    </xf>
    <xf numFmtId="0" fontId="71" fillId="38" borderId="67" xfId="64" applyFont="1" applyFill="1" applyBorder="1" applyAlignment="1">
      <alignment wrapText="1"/>
    </xf>
    <xf numFmtId="0" fontId="71" fillId="38" borderId="13" xfId="58" applyFont="1" applyFill="1" applyBorder="1"/>
    <xf numFmtId="0" fontId="71" fillId="38" borderId="40" xfId="65" applyFont="1" applyFill="1" applyBorder="1"/>
    <xf numFmtId="0" fontId="71" fillId="38" borderId="40" xfId="66" applyFont="1" applyFill="1" applyBorder="1"/>
    <xf numFmtId="0" fontId="71" fillId="38" borderId="40" xfId="67" applyFont="1" applyFill="1" applyBorder="1"/>
    <xf numFmtId="0" fontId="71" fillId="38" borderId="40" xfId="68" applyFont="1" applyFill="1" applyBorder="1"/>
    <xf numFmtId="0" fontId="71" fillId="38" borderId="40" xfId="69" applyFont="1" applyFill="1" applyBorder="1"/>
    <xf numFmtId="0" fontId="72" fillId="0" borderId="62" xfId="59" applyFont="1" applyBorder="1" applyAlignment="1">
      <alignment horizontal="left" vertical="top"/>
    </xf>
    <xf numFmtId="183" fontId="73" fillId="0" borderId="64" xfId="60" applyNumberFormat="1" applyFont="1" applyBorder="1"/>
    <xf numFmtId="183" fontId="73" fillId="0" borderId="64" xfId="61" applyNumberFormat="1" applyFont="1" applyBorder="1"/>
    <xf numFmtId="183" fontId="73" fillId="0" borderId="64" xfId="62" applyNumberFormat="1" applyFont="1" applyBorder="1"/>
    <xf numFmtId="183" fontId="73" fillId="0" borderId="64" xfId="63" applyNumberFormat="1" applyFont="1" applyBorder="1"/>
    <xf numFmtId="183" fontId="73" fillId="0" borderId="65" xfId="64" applyNumberFormat="1" applyFont="1" applyBorder="1"/>
    <xf numFmtId="0" fontId="65" fillId="0" borderId="6" xfId="58" applyFont="1" applyBorder="1"/>
    <xf numFmtId="4" fontId="64" fillId="0" borderId="64" xfId="65" applyNumberFormat="1" applyBorder="1"/>
    <xf numFmtId="4" fontId="64" fillId="0" borderId="64" xfId="66" applyNumberFormat="1" applyBorder="1"/>
    <xf numFmtId="4" fontId="64" fillId="0" borderId="64" xfId="67" applyNumberFormat="1" applyBorder="1"/>
    <xf numFmtId="4" fontId="64" fillId="0" borderId="64" xfId="68" applyNumberFormat="1" applyBorder="1"/>
    <xf numFmtId="4" fontId="64" fillId="0" borderId="64" xfId="69" applyNumberFormat="1" applyBorder="1"/>
    <xf numFmtId="183" fontId="73" fillId="39" borderId="64" xfId="60" applyNumberFormat="1" applyFont="1" applyFill="1" applyBorder="1"/>
    <xf numFmtId="183" fontId="73" fillId="39" borderId="64" xfId="61" applyNumberFormat="1" applyFont="1" applyFill="1" applyBorder="1"/>
    <xf numFmtId="183" fontId="74" fillId="39" borderId="64" xfId="61" applyNumberFormat="1" applyFont="1" applyFill="1" applyBorder="1"/>
    <xf numFmtId="183" fontId="73" fillId="39" borderId="64" xfId="62" applyNumberFormat="1" applyFont="1" applyFill="1" applyBorder="1"/>
    <xf numFmtId="183" fontId="73" fillId="39" borderId="64" xfId="63" applyNumberFormat="1" applyFont="1" applyFill="1" applyBorder="1"/>
    <xf numFmtId="183" fontId="73" fillId="39" borderId="65" xfId="64" applyNumberFormat="1" applyFont="1" applyFill="1" applyBorder="1"/>
    <xf numFmtId="4" fontId="64" fillId="39" borderId="64" xfId="65" applyNumberFormat="1" applyFill="1" applyBorder="1"/>
    <xf numFmtId="4" fontId="64" fillId="39" borderId="64" xfId="66" applyNumberFormat="1" applyFill="1" applyBorder="1"/>
    <xf numFmtId="4" fontId="64" fillId="39" borderId="64" xfId="67" applyNumberFormat="1" applyFill="1" applyBorder="1"/>
    <xf numFmtId="4" fontId="64" fillId="39" borderId="64" xfId="68" applyNumberFormat="1" applyFill="1" applyBorder="1"/>
    <xf numFmtId="4" fontId="64" fillId="39" borderId="64" xfId="69" applyNumberFormat="1" applyFill="1" applyBorder="1"/>
    <xf numFmtId="0" fontId="65" fillId="26" borderId="62" xfId="70" applyFont="1" applyFill="1" applyBorder="1" applyProtection="1">
      <protection locked="0"/>
    </xf>
    <xf numFmtId="0" fontId="59" fillId="25" borderId="0" xfId="28" applyFont="1" applyFill="1" applyAlignment="1">
      <alignment horizontal="left" vertical="top"/>
    </xf>
    <xf numFmtId="0" fontId="69" fillId="37" borderId="63" xfId="70" applyFont="1" applyFill="1" applyBorder="1"/>
    <xf numFmtId="0" fontId="71" fillId="38" borderId="66" xfId="70" applyFont="1" applyFill="1" applyBorder="1"/>
    <xf numFmtId="0" fontId="71" fillId="38" borderId="11" xfId="71" applyFont="1" applyFill="1" applyBorder="1" applyAlignment="1">
      <alignment wrapText="1"/>
    </xf>
    <xf numFmtId="0" fontId="71" fillId="38" borderId="11" xfId="72" applyFont="1" applyFill="1" applyBorder="1" applyAlignment="1">
      <alignment wrapText="1"/>
    </xf>
    <xf numFmtId="0" fontId="74" fillId="38" borderId="11" xfId="72" applyFont="1" applyFill="1" applyBorder="1" applyAlignment="1">
      <alignment wrapText="1"/>
    </xf>
    <xf numFmtId="0" fontId="71" fillId="38" borderId="11" xfId="73" applyFont="1" applyFill="1" applyBorder="1" applyAlignment="1">
      <alignment wrapText="1"/>
    </xf>
    <xf numFmtId="0" fontId="71" fillId="38" borderId="11" xfId="74" applyFont="1" applyFill="1" applyBorder="1" applyAlignment="1">
      <alignment wrapText="1"/>
    </xf>
    <xf numFmtId="0" fontId="71" fillId="38" borderId="67" xfId="75" applyFont="1" applyFill="1" applyBorder="1" applyAlignment="1">
      <alignment wrapText="1"/>
    </xf>
    <xf numFmtId="0" fontId="71" fillId="38" borderId="13" xfId="76" applyFont="1" applyFill="1" applyBorder="1"/>
    <xf numFmtId="0" fontId="71" fillId="38" borderId="40" xfId="77" applyFont="1" applyFill="1" applyBorder="1"/>
    <xf numFmtId="0" fontId="71" fillId="38" borderId="40" xfId="78" applyFont="1" applyFill="1" applyBorder="1"/>
    <xf numFmtId="0" fontId="71" fillId="38" borderId="40" xfId="79" applyFont="1" applyFill="1" applyBorder="1"/>
    <xf numFmtId="0" fontId="71" fillId="38" borderId="40" xfId="80" applyFont="1" applyFill="1" applyBorder="1"/>
    <xf numFmtId="0" fontId="71" fillId="38" borderId="40" xfId="81" applyFont="1" applyFill="1" applyBorder="1"/>
    <xf numFmtId="0" fontId="72" fillId="0" borderId="62" xfId="70" applyFont="1" applyBorder="1" applyAlignment="1">
      <alignment horizontal="left" vertical="top"/>
    </xf>
    <xf numFmtId="183" fontId="73" fillId="0" borderId="64" xfId="71" applyNumberFormat="1" applyFont="1" applyBorder="1"/>
    <xf numFmtId="183" fontId="73" fillId="0" borderId="64" xfId="72" applyNumberFormat="1" applyFont="1" applyBorder="1"/>
    <xf numFmtId="183" fontId="73" fillId="0" borderId="64" xfId="73" applyNumberFormat="1" applyFont="1" applyBorder="1"/>
    <xf numFmtId="183" fontId="73" fillId="0" borderId="64" xfId="74" applyNumberFormat="1" applyFont="1" applyBorder="1"/>
    <xf numFmtId="183" fontId="73" fillId="0" borderId="65" xfId="75" applyNumberFormat="1" applyFont="1" applyBorder="1"/>
    <xf numFmtId="0" fontId="65" fillId="0" borderId="6" xfId="76" applyFont="1" applyBorder="1"/>
    <xf numFmtId="4" fontId="64" fillId="0" borderId="64" xfId="77" applyNumberFormat="1" applyBorder="1"/>
    <xf numFmtId="4" fontId="64" fillId="0" borderId="64" xfId="78" applyNumberFormat="1" applyBorder="1"/>
    <xf numFmtId="4" fontId="64" fillId="0" borderId="64" xfId="79" applyNumberFormat="1" applyBorder="1"/>
    <xf numFmtId="4" fontId="64" fillId="0" borderId="64" xfId="80" applyNumberFormat="1" applyBorder="1"/>
    <xf numFmtId="4" fontId="64" fillId="0" borderId="64" xfId="81" applyNumberFormat="1" applyBorder="1"/>
    <xf numFmtId="0" fontId="58" fillId="0" borderId="73" xfId="28" applyBorder="1" applyAlignment="1">
      <alignment horizontal="left" vertical="top"/>
    </xf>
    <xf numFmtId="0" fontId="58" fillId="0" borderId="74" xfId="28" applyBorder="1" applyAlignment="1">
      <alignment horizontal="left" vertical="top"/>
    </xf>
    <xf numFmtId="0" fontId="77" fillId="0" borderId="74" xfId="28" applyFont="1" applyBorder="1" applyAlignment="1">
      <alignment horizontal="left" vertical="top"/>
    </xf>
    <xf numFmtId="0" fontId="58" fillId="0" borderId="75" xfId="28" applyBorder="1" applyAlignment="1">
      <alignment horizontal="left" vertical="top"/>
    </xf>
    <xf numFmtId="0" fontId="59" fillId="0" borderId="76" xfId="28" applyFont="1" applyBorder="1" applyAlignment="1">
      <alignment horizontal="left" vertical="top"/>
    </xf>
    <xf numFmtId="0" fontId="59" fillId="0" borderId="77" xfId="28" applyFont="1" applyBorder="1" applyAlignment="1">
      <alignment horizontal="left" vertical="top"/>
    </xf>
    <xf numFmtId="0" fontId="59" fillId="0" borderId="78" xfId="28" applyFont="1" applyBorder="1" applyAlignment="1">
      <alignment horizontal="left" vertical="top"/>
    </xf>
    <xf numFmtId="0" fontId="54" fillId="0" borderId="6" xfId="0" applyFont="1" applyBorder="1"/>
    <xf numFmtId="172" fontId="30" fillId="40" borderId="6" xfId="0" applyNumberFormat="1" applyFont="1" applyFill="1" applyBorder="1"/>
    <xf numFmtId="0" fontId="4" fillId="0" borderId="3" xfId="4" applyAlignment="1">
      <alignment horizontal="left"/>
    </xf>
    <xf numFmtId="0" fontId="4" fillId="40" borderId="3" xfId="4" applyFill="1"/>
    <xf numFmtId="0" fontId="1" fillId="0" borderId="6" xfId="14" applyBorder="1"/>
    <xf numFmtId="0" fontId="39" fillId="25" borderId="6" xfId="14" applyFont="1" applyFill="1" applyBorder="1"/>
    <xf numFmtId="172" fontId="46" fillId="0" borderId="6" xfId="0" applyNumberFormat="1" applyFont="1" applyBorder="1"/>
    <xf numFmtId="0" fontId="53" fillId="0" borderId="6" xfId="4" applyFont="1" applyFill="1" applyBorder="1"/>
    <xf numFmtId="172" fontId="47" fillId="34" borderId="6" xfId="0" applyNumberFormat="1" applyFont="1" applyFill="1" applyBorder="1" applyAlignment="1">
      <alignment wrapText="1"/>
    </xf>
    <xf numFmtId="172" fontId="47" fillId="24" borderId="6" xfId="0" applyNumberFormat="1" applyFont="1" applyFill="1" applyBorder="1"/>
    <xf numFmtId="178" fontId="39" fillId="25" borderId="6" xfId="0" applyNumberFormat="1" applyFont="1" applyFill="1" applyBorder="1" applyAlignment="1">
      <alignment wrapText="1"/>
    </xf>
    <xf numFmtId="172" fontId="30" fillId="35" borderId="6" xfId="0" applyNumberFormat="1" applyFont="1" applyFill="1" applyBorder="1"/>
    <xf numFmtId="0" fontId="58" fillId="35" borderId="0" xfId="28" applyFill="1" applyAlignment="1">
      <alignment horizontal="left" vertical="top"/>
    </xf>
    <xf numFmtId="0" fontId="58" fillId="34" borderId="0" xfId="28" applyFill="1" applyAlignment="1">
      <alignment horizontal="left" vertical="top"/>
    </xf>
    <xf numFmtId="3" fontId="0" fillId="0" borderId="6" xfId="0" applyNumberFormat="1" applyBorder="1"/>
    <xf numFmtId="3" fontId="57" fillId="35" borderId="6" xfId="0" applyNumberFormat="1" applyFont="1" applyFill="1" applyBorder="1"/>
    <xf numFmtId="3" fontId="47" fillId="0" borderId="6" xfId="0" applyNumberFormat="1" applyFont="1" applyBorder="1"/>
    <xf numFmtId="0" fontId="47" fillId="0" borderId="6" xfId="0" applyFont="1" applyBorder="1"/>
    <xf numFmtId="0" fontId="4" fillId="0" borderId="3" xfId="4" applyFill="1" applyAlignment="1">
      <alignment horizontal="left"/>
    </xf>
    <xf numFmtId="0" fontId="0" fillId="0" borderId="6" xfId="0" quotePrefix="1" applyBorder="1"/>
    <xf numFmtId="0" fontId="85" fillId="34" borderId="0" xfId="28" applyFont="1" applyFill="1" applyAlignment="1">
      <alignment horizontal="left" vertical="top"/>
    </xf>
    <xf numFmtId="0" fontId="86" fillId="0" borderId="6" xfId="82" applyFont="1" applyBorder="1" applyAlignment="1">
      <alignment horizontal="center" wrapText="1"/>
    </xf>
    <xf numFmtId="0" fontId="62" fillId="0" borderId="0" xfId="82"/>
    <xf numFmtId="0" fontId="86" fillId="0" borderId="42" xfId="82" applyFont="1" applyBorder="1" applyAlignment="1">
      <alignment horizontal="center" wrapText="1"/>
    </xf>
    <xf numFmtId="0" fontId="86" fillId="0" borderId="42" xfId="82" applyFont="1" applyBorder="1" applyAlignment="1">
      <alignment horizontal="left"/>
    </xf>
    <xf numFmtId="0" fontId="62" fillId="0" borderId="6" xfId="82" applyBorder="1"/>
    <xf numFmtId="187" fontId="62" fillId="0" borderId="6" xfId="82" applyNumberFormat="1" applyBorder="1"/>
    <xf numFmtId="0" fontId="87" fillId="0" borderId="0" xfId="83"/>
    <xf numFmtId="0" fontId="62" fillId="0" borderId="0" xfId="10" applyNumberFormat="1" applyFont="1"/>
    <xf numFmtId="174" fontId="44" fillId="28" borderId="41" xfId="26" applyNumberFormat="1"/>
    <xf numFmtId="0" fontId="62" fillId="41" borderId="0" xfId="82" applyFill="1"/>
    <xf numFmtId="9" fontId="62" fillId="25" borderId="0" xfId="82" applyNumberFormat="1" applyFill="1"/>
    <xf numFmtId="0" fontId="62" fillId="0" borderId="0" xfId="82" applyAlignment="1">
      <alignment horizontal="left"/>
    </xf>
    <xf numFmtId="3" fontId="62" fillId="0" borderId="0" xfId="82" applyNumberFormat="1"/>
    <xf numFmtId="0" fontId="62" fillId="0" borderId="0" xfId="82" applyAlignment="1">
      <alignment horizontal="left" indent="1"/>
    </xf>
    <xf numFmtId="3" fontId="62" fillId="41" borderId="0" xfId="82" applyNumberFormat="1" applyFill="1"/>
    <xf numFmtId="0" fontId="62" fillId="40" borderId="0" xfId="82" applyFill="1"/>
    <xf numFmtId="3" fontId="57" fillId="34" borderId="6" xfId="0" applyNumberFormat="1" applyFont="1" applyFill="1" applyBorder="1"/>
    <xf numFmtId="174" fontId="39" fillId="25" borderId="64" xfId="1" applyNumberFormat="1" applyFont="1" applyFill="1" applyBorder="1"/>
    <xf numFmtId="3" fontId="0" fillId="0" borderId="71" xfId="0" applyNumberFormat="1" applyBorder="1"/>
    <xf numFmtId="186" fontId="57" fillId="35" borderId="6" xfId="0" applyNumberFormat="1" applyFont="1" applyFill="1" applyBorder="1"/>
    <xf numFmtId="3" fontId="46" fillId="0" borderId="6" xfId="0" applyNumberFormat="1" applyFont="1" applyBorder="1"/>
    <xf numFmtId="186" fontId="0" fillId="34" borderId="6" xfId="0" applyNumberFormat="1" applyFill="1" applyBorder="1" applyAlignment="1">
      <alignment wrapText="1"/>
    </xf>
    <xf numFmtId="186" fontId="0" fillId="35" borderId="6" xfId="0" applyNumberFormat="1" applyFill="1" applyBorder="1" applyAlignment="1">
      <alignment wrapText="1"/>
    </xf>
    <xf numFmtId="178" fontId="0" fillId="0" borderId="6" xfId="0" applyNumberFormat="1" applyBorder="1" applyAlignment="1">
      <alignment wrapText="1"/>
    </xf>
    <xf numFmtId="0" fontId="38" fillId="25" borderId="6" xfId="0" applyFont="1" applyFill="1" applyBorder="1"/>
    <xf numFmtId="3" fontId="39" fillId="25" borderId="6" xfId="0" applyNumberFormat="1" applyFont="1" applyFill="1" applyBorder="1" applyAlignment="1">
      <alignment wrapText="1"/>
    </xf>
    <xf numFmtId="3" fontId="0" fillId="0" borderId="6" xfId="0" applyNumberFormat="1" applyBorder="1" applyAlignment="1">
      <alignment wrapText="1"/>
    </xf>
    <xf numFmtId="3" fontId="0" fillId="25" borderId="6" xfId="0" applyNumberFormat="1" applyFill="1" applyBorder="1"/>
    <xf numFmtId="0" fontId="4" fillId="40" borderId="3" xfId="4" applyFill="1" applyAlignment="1">
      <alignment wrapText="1"/>
    </xf>
    <xf numFmtId="0" fontId="56" fillId="40" borderId="6" xfId="0" applyFont="1" applyFill="1" applyBorder="1"/>
    <xf numFmtId="0" fontId="46" fillId="40" borderId="6" xfId="0" applyFont="1" applyFill="1" applyBorder="1"/>
    <xf numFmtId="1" fontId="40" fillId="35" borderId="6" xfId="0" applyNumberFormat="1" applyFont="1" applyFill="1" applyBorder="1" applyAlignment="1">
      <alignment wrapText="1"/>
    </xf>
    <xf numFmtId="0" fontId="0" fillId="40" borderId="6" xfId="0" applyFill="1" applyBorder="1" applyAlignment="1">
      <alignment wrapText="1"/>
    </xf>
    <xf numFmtId="0" fontId="0" fillId="0" borderId="0" xfId="0" applyAlignment="1">
      <alignment horizontal="left"/>
    </xf>
    <xf numFmtId="188" fontId="1" fillId="0" borderId="0" xfId="10" applyNumberFormat="1"/>
    <xf numFmtId="189" fontId="1" fillId="0" borderId="0" xfId="10" applyNumberFormat="1"/>
    <xf numFmtId="166" fontId="88" fillId="37" borderId="0" xfId="10" applyFont="1" applyFill="1"/>
    <xf numFmtId="0" fontId="8" fillId="0" borderId="0" xfId="10" quotePrefix="1" applyNumberFormat="1" applyFont="1"/>
    <xf numFmtId="190" fontId="1" fillId="0" borderId="0" xfId="10" applyNumberFormat="1"/>
    <xf numFmtId="174" fontId="1" fillId="26" borderId="0" xfId="10" applyNumberFormat="1" applyFill="1"/>
    <xf numFmtId="174" fontId="1" fillId="42" borderId="0" xfId="10" applyNumberFormat="1" applyFill="1"/>
    <xf numFmtId="174" fontId="1" fillId="20" borderId="0" xfId="10" applyNumberFormat="1" applyFill="1"/>
    <xf numFmtId="166" fontId="1" fillId="34" borderId="0" xfId="10" applyFill="1"/>
    <xf numFmtId="0" fontId="8" fillId="34" borderId="0" xfId="10" applyNumberFormat="1" applyFont="1" applyFill="1"/>
    <xf numFmtId="174" fontId="1" fillId="34" borderId="0" xfId="10" applyNumberFormat="1" applyFill="1"/>
    <xf numFmtId="166" fontId="8" fillId="34" borderId="0" xfId="10" applyFont="1" applyFill="1"/>
    <xf numFmtId="0" fontId="89" fillId="26" borderId="0" xfId="28" applyFont="1" applyFill="1" applyAlignment="1">
      <alignment horizontal="left" vertical="top"/>
    </xf>
    <xf numFmtId="0" fontId="0" fillId="35" borderId="6" xfId="0" applyFill="1" applyBorder="1"/>
    <xf numFmtId="0" fontId="57" fillId="40" borderId="6" xfId="0" applyFont="1" applyFill="1" applyBorder="1"/>
    <xf numFmtId="0" fontId="3" fillId="0" borderId="0" xfId="3" applyBorder="1"/>
    <xf numFmtId="0" fontId="0" fillId="34" borderId="6" xfId="0" applyFill="1" applyBorder="1"/>
    <xf numFmtId="174" fontId="0" fillId="34" borderId="6" xfId="0" applyNumberFormat="1" applyFill="1" applyBorder="1"/>
    <xf numFmtId="0" fontId="57" fillId="0" borderId="6" xfId="0" applyFont="1" applyBorder="1"/>
    <xf numFmtId="186" fontId="57" fillId="0" borderId="6" xfId="0" applyNumberFormat="1" applyFont="1" applyBorder="1"/>
    <xf numFmtId="174" fontId="39" fillId="0" borderId="64" xfId="1" applyNumberFormat="1" applyFont="1" applyFill="1" applyBorder="1"/>
    <xf numFmtId="186" fontId="0" fillId="0" borderId="6" xfId="0" applyNumberFormat="1" applyBorder="1"/>
    <xf numFmtId="3" fontId="57" fillId="0" borderId="6" xfId="0" applyNumberFormat="1" applyFont="1" applyBorder="1"/>
    <xf numFmtId="0" fontId="4" fillId="0" borderId="0" xfId="0" applyFont="1"/>
    <xf numFmtId="0" fontId="90" fillId="0" borderId="0" xfId="82" applyFont="1"/>
    <xf numFmtId="174" fontId="62" fillId="40" borderId="0" xfId="82" applyNumberFormat="1" applyFill="1"/>
    <xf numFmtId="174" fontId="0" fillId="35" borderId="6" xfId="0" applyNumberFormat="1" applyFill="1" applyBorder="1"/>
    <xf numFmtId="1" fontId="7" fillId="35" borderId="6" xfId="0" applyNumberFormat="1" applyFont="1" applyFill="1" applyBorder="1" applyAlignment="1">
      <alignment wrapText="1"/>
    </xf>
    <xf numFmtId="166" fontId="1" fillId="0" borderId="0" xfId="85" applyAlignment="1">
      <alignment horizontal="right"/>
    </xf>
    <xf numFmtId="0" fontId="62" fillId="0" borderId="0" xfId="85" applyNumberFormat="1" applyFont="1"/>
    <xf numFmtId="166" fontId="1" fillId="0" borderId="0" xfId="85"/>
    <xf numFmtId="0" fontId="62" fillId="24" borderId="0" xfId="82" applyFill="1"/>
    <xf numFmtId="191" fontId="62" fillId="24" borderId="0" xfId="82" applyNumberFormat="1" applyFill="1"/>
    <xf numFmtId="178" fontId="7" fillId="35" borderId="6" xfId="0" applyNumberFormat="1" applyFont="1" applyFill="1" applyBorder="1" applyAlignment="1">
      <alignment wrapText="1"/>
    </xf>
    <xf numFmtId="172" fontId="7" fillId="0" borderId="6" xfId="0" applyNumberFormat="1" applyFont="1" applyBorder="1"/>
    <xf numFmtId="172" fontId="54" fillId="0" borderId="6" xfId="0" applyNumberFormat="1" applyFont="1" applyBorder="1"/>
    <xf numFmtId="3" fontId="91" fillId="0" borderId="6" xfId="0" applyNumberFormat="1" applyFont="1" applyBorder="1"/>
    <xf numFmtId="0" fontId="91" fillId="0" borderId="6" xfId="0" applyFont="1" applyBorder="1"/>
    <xf numFmtId="172" fontId="91" fillId="40" borderId="6" xfId="0" applyNumberFormat="1" applyFont="1" applyFill="1" applyBorder="1"/>
    <xf numFmtId="172" fontId="91" fillId="0" borderId="6" xfId="0" applyNumberFormat="1" applyFont="1" applyBorder="1"/>
    <xf numFmtId="174" fontId="92" fillId="42" borderId="0" xfId="82" applyNumberFormat="1" applyFont="1" applyFill="1"/>
    <xf numFmtId="174" fontId="62" fillId="0" borderId="0" xfId="82" applyNumberFormat="1"/>
  </cellXfs>
  <cellStyles count="86">
    <cellStyle name="20% - Accent2 2" xfId="27" xr:uid="{1096C69A-1928-4524-A822-63B3A09E5B14}"/>
    <cellStyle name="Bad 2" xfId="21" xr:uid="{FA543130-6EC8-44B4-850F-55F3E702F648}"/>
    <cellStyle name="Calculation 2" xfId="24" xr:uid="{AB3E82DB-B6AE-4262-AB4A-6F9795258245}"/>
    <cellStyle name="Comma 2" xfId="9" xr:uid="{A46AACE2-88DF-4F7E-92E2-539E8E22CF75}"/>
    <cellStyle name="Comma 2 6" xfId="16" xr:uid="{0585C11F-CA97-4BB1-8910-8931F9EF0D34}"/>
    <cellStyle name="Comma 3" xfId="15" xr:uid="{C41EA4EF-DA8A-40E6-969D-A98EC17A460F}"/>
    <cellStyle name="Heading 1" xfId="2" builtinId="16"/>
    <cellStyle name="Heading 1 2" xfId="12" xr:uid="{7175FC14-4099-4844-99F4-A3AAA4FED105}"/>
    <cellStyle name="Heading 2" xfId="3" builtinId="17"/>
    <cellStyle name="Heading 3" xfId="4" builtinId="18"/>
    <cellStyle name="Heading 3 2" xfId="13" xr:uid="{C8633276-3067-47C2-B668-1F0FFD7D1032}"/>
    <cellStyle name="Heading 4" xfId="5" builtinId="19"/>
    <cellStyle name="Hyperlink" xfId="6" builtinId="8"/>
    <cellStyle name="Hyperlink 2" xfId="11" xr:uid="{141641DF-08DE-4E2D-AC69-55E1EE4BD281}"/>
    <cellStyle name="Hyperlink 2 2" xfId="83" xr:uid="{6BEF9D29-4616-400E-953F-0F9CEB14E332}"/>
    <cellStyle name="Input 2" xfId="19" xr:uid="{16C611DC-0683-4E85-8E2C-C8E3CD9989ED}"/>
    <cellStyle name="Input 2 2" xfId="25" xr:uid="{97372423-46E3-492D-B30F-9DD09C7132C9}"/>
    <cellStyle name="Neutral 2" xfId="23" xr:uid="{577A72E2-55D5-4B56-B794-85A8209A52EE}"/>
    <cellStyle name="Normal" xfId="0" builtinId="0"/>
    <cellStyle name="Normal 13 2" xfId="29" xr:uid="{F7D4DF32-A063-4F88-89DA-F07513714D5F}"/>
    <cellStyle name="Normal 2" xfId="7" xr:uid="{00EF6E3A-1EF4-4C66-801B-B7F08075B27E}"/>
    <cellStyle name="Normal 20" xfId="28" xr:uid="{1EF55C69-4A87-47F0-81FA-A2E6A958DD47}"/>
    <cellStyle name="Normal 3" xfId="10" xr:uid="{999A05B6-6D6B-4587-94BE-1D1866011757}"/>
    <cellStyle name="Normal 3 2" xfId="20" xr:uid="{9F8C3B58-6AC5-4337-9E64-F243CA764A69}"/>
    <cellStyle name="Normal 3 6" xfId="8" xr:uid="{0177D962-EFA6-4995-AC86-78903C5D4EAD}"/>
    <cellStyle name="Normal 32" xfId="43" xr:uid="{B3556983-A1A7-431A-9828-0743759A8B60}"/>
    <cellStyle name="Normal 33" xfId="45" xr:uid="{36780887-0B0F-43EE-AD34-3CA89BFDA941}"/>
    <cellStyle name="Normal 35" xfId="51" xr:uid="{AFFD4A70-5E03-4616-9E3E-FD760528B11E}"/>
    <cellStyle name="Normal 36" xfId="52" xr:uid="{752CD019-F9AC-438C-945D-9598C2603F26}"/>
    <cellStyle name="Normal 37" xfId="48" xr:uid="{ECAFF2ED-CE1F-4C4A-B590-22D315B277C8}"/>
    <cellStyle name="Normal 38" xfId="49" xr:uid="{961FDCFA-ECE7-4051-8F6D-7B069D1CBE21}"/>
    <cellStyle name="Normal 39" xfId="54" xr:uid="{C6904AAD-7BE2-4A16-B0AA-E844A9EF8AB3}"/>
    <cellStyle name="Normal 4" xfId="22" xr:uid="{97CE3C43-8CBC-49A6-A291-2FD45BB1E6D6}"/>
    <cellStyle name="Normal 40" xfId="50" xr:uid="{E183C7E2-F69D-43D6-A061-4BE507ADA4F1}"/>
    <cellStyle name="Normal 42" xfId="57" xr:uid="{A8B60A06-3C94-40F5-870E-5F9C98A99C24}"/>
    <cellStyle name="Normal 43" xfId="55" xr:uid="{FEBDE694-1CB1-4163-86D5-334982E2C711}"/>
    <cellStyle name="Normal 44" xfId="56" xr:uid="{297AE58C-9765-4305-9F63-8352452729D1}"/>
    <cellStyle name="Normal 45" xfId="53" xr:uid="{82B0616C-063E-4D25-996D-82F01136050F}"/>
    <cellStyle name="Normal 47" xfId="47" xr:uid="{EDACC7B4-7A99-410C-AD5A-58B33E665B76}"/>
    <cellStyle name="Normal 48" xfId="59" xr:uid="{E6F8B57D-56E5-411F-86FE-7AD6D106D788}"/>
    <cellStyle name="Normal 5" xfId="82" xr:uid="{9E8F0F85-DA84-4E39-A127-D690BA33D673}"/>
    <cellStyle name="Normal 50" xfId="64" xr:uid="{F28D669F-A208-4CF3-A386-10E792A5487C}"/>
    <cellStyle name="Normal 51" xfId="32" xr:uid="{F13FA6E0-93FA-4A8B-A450-47DFB519D1A0}"/>
    <cellStyle name="Normal 52" xfId="69" xr:uid="{1438AC25-5DDF-418A-9737-AD204DEF1E0C}"/>
    <cellStyle name="Normal 53" xfId="58" xr:uid="{EE044DAF-FA04-4457-A407-A56F7E0E3DC1}"/>
    <cellStyle name="Normal 54" xfId="46" xr:uid="{881E38E0-9B48-4381-9E52-03149823C3EF}"/>
    <cellStyle name="Normal 55" xfId="63" xr:uid="{4E4CF0B2-D490-4E88-9752-FE56F458CE69}"/>
    <cellStyle name="Normal 56" xfId="38" xr:uid="{054C6686-90B1-4815-B508-663228EFE44A}"/>
    <cellStyle name="Normal 57" xfId="68" xr:uid="{7089C36D-E66C-4161-881A-9BC7E95E7A21}"/>
    <cellStyle name="Normal 58" xfId="62" xr:uid="{85753C08-B3DE-4E61-A046-F5D3E0CF9506}"/>
    <cellStyle name="Normal 59" xfId="67" xr:uid="{C73742DA-7600-4ADF-8474-9738BEC1FC29}"/>
    <cellStyle name="Normal 6" xfId="85" xr:uid="{D59D6C3F-675F-401E-BA4B-AD2353BB7A4A}"/>
    <cellStyle name="Normal 60" xfId="31" xr:uid="{9AF9ACC9-CC1D-4CC3-B9FD-92FA7C80CAEC}"/>
    <cellStyle name="Normal 61" xfId="61" xr:uid="{DA46889F-3866-4984-8686-9555B3E2A4FD}"/>
    <cellStyle name="Normal 62" xfId="66" xr:uid="{14F7436A-66AE-44C3-A595-CB301F4582CA}"/>
    <cellStyle name="Normal 63" xfId="60" xr:uid="{F9EFDCF0-D239-4A0A-A8E0-8DFD9EF31326}"/>
    <cellStyle name="Normal 64" xfId="39" xr:uid="{831484CD-F97D-41FA-A586-39A6A2C26094}"/>
    <cellStyle name="Normal 65" xfId="65" xr:uid="{64131AAA-B71D-4DFD-AE6C-6B3E99E064B9}"/>
    <cellStyle name="Normal 66" xfId="70" xr:uid="{F57E1EEA-DD5C-4F9C-8893-A82E2A841A52}"/>
    <cellStyle name="Normal 67" xfId="34" xr:uid="{87CBA646-1EF8-418E-93CC-B73CBED24FB4}"/>
    <cellStyle name="Normal 68" xfId="75" xr:uid="{00FC16B7-6462-48EA-BE74-3B9D6572EDC0}"/>
    <cellStyle name="Normal 69" xfId="81" xr:uid="{88F8908D-53E8-4995-B228-5E64FE632FB1}"/>
    <cellStyle name="Normal 70" xfId="76" xr:uid="{66026E4A-AD2A-4EE4-A270-E7BC0401B892}"/>
    <cellStyle name="Normal 71" xfId="74" xr:uid="{2D09652D-A517-45F0-B14C-CD3E7117CBFB}"/>
    <cellStyle name="Normal 72" xfId="80" xr:uid="{02198B2A-B5BF-4572-B93F-5BD713BB0EFD}"/>
    <cellStyle name="Normal 73" xfId="73" xr:uid="{31919EFE-1213-4418-9CF6-43C955021BB0}"/>
    <cellStyle name="Normal 74" xfId="79" xr:uid="{500BB030-CF1C-4498-9AFC-A0D8F7CBB0B7}"/>
    <cellStyle name="Normal 75" xfId="72" xr:uid="{0DDD22CF-85F9-4814-83FA-802C70B380FC}"/>
    <cellStyle name="Normal 76" xfId="78" xr:uid="{66D31E6F-DF7C-42BC-A7CF-22BCAD9DE205}"/>
    <cellStyle name="Normal 77" xfId="71" xr:uid="{91E03A83-DD9D-4CAF-9D3B-6DAE618E8789}"/>
    <cellStyle name="Normal 78" xfId="77" xr:uid="{E4B0DC36-DECB-4874-AD14-DD359C7F375E}"/>
    <cellStyle name="Normal 79" xfId="33" xr:uid="{CAF030A8-493E-4BCB-A7E9-ADCA0F6FF68B}"/>
    <cellStyle name="Normal 80" xfId="40" xr:uid="{1C5BC403-79FE-423B-A82C-DB40A0BE7607}"/>
    <cellStyle name="Normal 81" xfId="35" xr:uid="{4D257CFC-C9C9-44D5-8807-505601A4BF73}"/>
    <cellStyle name="Normal 82" xfId="41" xr:uid="{6A4432E2-F85A-44BD-99EE-C4B63C1ED185}"/>
    <cellStyle name="Normal 83" xfId="36" xr:uid="{A2F80A2D-FC1B-4B7E-A339-AEED5CFD18BC}"/>
    <cellStyle name="Normal 84" xfId="42" xr:uid="{9E74C432-84ED-4C49-891F-64B2BDF6FBCD}"/>
    <cellStyle name="Normal 85" xfId="37" xr:uid="{BFF63938-9AAB-4D65-8A9D-F7AF8136284B}"/>
    <cellStyle name="Normal 88" xfId="14" xr:uid="{07343C8C-075A-476F-9588-20BF1B4AD9C5}"/>
    <cellStyle name="Normal 89" xfId="17" xr:uid="{5E34DB51-2448-4FE5-9862-CC1FAA39E394}"/>
    <cellStyle name="Note 2" xfId="18" xr:uid="{D527D189-75BA-4FF9-8BE4-79E5415D60E9}"/>
    <cellStyle name="Output 2" xfId="26" xr:uid="{057EB9F2-10BA-44F7-8CB2-18884864A000}"/>
    <cellStyle name="Per cent" xfId="1" builtinId="5"/>
    <cellStyle name="Percent 11" xfId="30" xr:uid="{BD115A17-5D40-4AD4-93E5-271D20725409}"/>
    <cellStyle name="Percent 3" xfId="84" xr:uid="{A8EB82BE-9C8F-469E-AAEC-87A0EFDFEF80}"/>
    <cellStyle name="Währung_Excel2" xfId="44" xr:uid="{289850AD-BA0F-40C5-B661-D35B1DF80978}"/>
  </cellStyles>
  <dxfs count="7">
    <dxf>
      <font>
        <color rgb="FFFF0000"/>
      </font>
      <fill>
        <patternFill patternType="none">
          <bgColor auto="1"/>
        </patternFill>
      </fill>
    </dxf>
    <dxf>
      <font>
        <color rgb="FFFF0000"/>
      </font>
      <fill>
        <patternFill patternType="none">
          <bgColor auto="1"/>
        </patternFill>
      </fill>
    </dxf>
    <dxf>
      <fill>
        <patternFill>
          <bgColor theme="9" tint="0.59996337778862885"/>
        </patternFill>
      </fill>
    </dxf>
    <dxf>
      <font>
        <color rgb="FFFF0000"/>
      </font>
      <fill>
        <patternFill patternType="none">
          <bgColor auto="1"/>
        </patternFill>
      </fill>
    </dxf>
    <dxf>
      <font>
        <color rgb="FFFF0000"/>
      </font>
      <fill>
        <patternFill patternType="none">
          <bgColor auto="1"/>
        </patternFill>
      </fill>
    </dxf>
    <dxf>
      <font>
        <color rgb="FFFF0000"/>
      </font>
      <fill>
        <patternFill patternType="none">
          <bgColor auto="1"/>
        </patternFill>
      </fill>
    </dxf>
    <dxf>
      <font>
        <color rgb="FFFF0000"/>
      </font>
      <fill>
        <patternFill patternType="none">
          <bgColor auto="1"/>
        </patternFill>
      </fill>
    </dxf>
  </dxfs>
  <tableStyles count="0" defaultTableStyle="TableStyleMedium2" defaultPivotStyle="PivotStyleLight16"/>
  <colors>
    <mruColors>
      <color rgb="FFDFF4FD"/>
      <color rgb="FFF9E7F7"/>
      <color rgb="FFE4F8E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2.xml"/><Relationship Id="rId33"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1.xml"/><Relationship Id="rId32"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pivotCacheDefinition" Target="pivotCache/pivotCacheDefinition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pivotCacheDefinition" Target="pivotCache/pivotCacheDefinition1.xml"/><Relationship Id="rId30" Type="http://schemas.openxmlformats.org/officeDocument/2006/relationships/styles" Target="styles.xml"/><Relationship Id="rId8" Type="http://schemas.openxmlformats.org/officeDocument/2006/relationships/worksheet" Target="worksheets/sheet8.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Manually adjusted for zero residual capacity in 2050</a:t>
            </a:r>
          </a:p>
        </c:rich>
      </c:tx>
      <c:overlay val="0"/>
      <c:spPr>
        <a:noFill/>
        <a:ln>
          <a:noFill/>
        </a:ln>
        <a:effectLst/>
      </c:spPr>
    </c:title>
    <c:autoTitleDeleted val="0"/>
    <c:plotArea>
      <c:layout/>
      <c:scatterChart>
        <c:scatterStyle val="lineMarker"/>
        <c:varyColors val="0"/>
        <c:ser>
          <c:idx val="1"/>
          <c:order val="0"/>
          <c:xVal>
            <c:numRef>
              <c:f>Analytica!$AT$16:$AW$16</c:f>
              <c:numCache>
                <c:formatCode>0</c:formatCode>
                <c:ptCount val="4"/>
                <c:pt idx="0">
                  <c:v>2020</c:v>
                </c:pt>
                <c:pt idx="1">
                  <c:v>2030</c:v>
                </c:pt>
                <c:pt idx="2">
                  <c:v>2040</c:v>
                </c:pt>
                <c:pt idx="3">
                  <c:v>2050</c:v>
                </c:pt>
              </c:numCache>
            </c:numRef>
          </c:xVal>
          <c:yVal>
            <c:numRef>
              <c:f>Analytica!$AT$19:$AW$19</c:f>
              <c:numCache>
                <c:formatCode>0.00</c:formatCode>
                <c:ptCount val="4"/>
                <c:pt idx="0" formatCode="0">
                  <c:v>5259.5090745597199</c:v>
                </c:pt>
                <c:pt idx="1">
                  <c:v>2963.6268741726399</c:v>
                </c:pt>
                <c:pt idx="2">
                  <c:v>1061.4603506595699</c:v>
                </c:pt>
                <c:pt idx="3">
                  <c:v>189.82402230184499</c:v>
                </c:pt>
              </c:numCache>
            </c:numRef>
          </c:yVal>
          <c:smooth val="0"/>
          <c:extLst>
            <c:ext xmlns:c16="http://schemas.microsoft.com/office/drawing/2014/chart" uri="{C3380CC4-5D6E-409C-BE32-E72D297353CC}">
              <c16:uniqueId val="{00000000-4175-4242-AA6D-34F00143C97C}"/>
            </c:ext>
          </c:extLst>
        </c:ser>
        <c:ser>
          <c:idx val="0"/>
          <c:order val="1"/>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Analytica!$AI$16:$AM$16</c:f>
              <c:numCache>
                <c:formatCode>0</c:formatCode>
                <c:ptCount val="5"/>
                <c:pt idx="0">
                  <c:v>2017</c:v>
                </c:pt>
                <c:pt idx="1">
                  <c:v>2020</c:v>
                </c:pt>
                <c:pt idx="2">
                  <c:v>2030</c:v>
                </c:pt>
                <c:pt idx="3">
                  <c:v>2040</c:v>
                </c:pt>
                <c:pt idx="4">
                  <c:v>2050</c:v>
                </c:pt>
              </c:numCache>
            </c:numRef>
          </c:xVal>
          <c:yVal>
            <c:numRef>
              <c:f>Analytica!$AI$19:$AM$19</c:f>
              <c:numCache>
                <c:formatCode>0.00</c:formatCode>
                <c:ptCount val="5"/>
                <c:pt idx="0">
                  <c:v>5902.05729724512</c:v>
                </c:pt>
                <c:pt idx="1">
                  <c:v>5259.5090745597199</c:v>
                </c:pt>
                <c:pt idx="2">
                  <c:v>2963.6268741726399</c:v>
                </c:pt>
                <c:pt idx="3" formatCode="0">
                  <c:v>0</c:v>
                </c:pt>
                <c:pt idx="4" formatCode="0">
                  <c:v>0</c:v>
                </c:pt>
              </c:numCache>
            </c:numRef>
          </c:yVal>
          <c:smooth val="0"/>
          <c:extLst>
            <c:ext xmlns:c16="http://schemas.microsoft.com/office/drawing/2014/chart" uri="{C3380CC4-5D6E-409C-BE32-E72D297353CC}">
              <c16:uniqueId val="{00000001-4175-4242-AA6D-34F00143C97C}"/>
            </c:ext>
          </c:extLst>
        </c:ser>
        <c:dLbls>
          <c:showLegendKey val="0"/>
          <c:showVal val="0"/>
          <c:showCatName val="0"/>
          <c:showSerName val="0"/>
          <c:showPercent val="0"/>
          <c:showBubbleSize val="0"/>
        </c:dLbls>
        <c:axId val="281707407"/>
        <c:axId val="83087439"/>
      </c:scatterChart>
      <c:valAx>
        <c:axId val="281707407"/>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087439"/>
        <c:crosses val="autoZero"/>
        <c:crossBetween val="midCat"/>
      </c:valAx>
      <c:valAx>
        <c:axId val="8308743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1707407"/>
        <c:crosses val="autoZero"/>
        <c:crossBetween val="midCat"/>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SOL!$B$80</c:f>
          <c:strCache>
            <c:ptCount val="1"/>
            <c:pt idx="0">
              <c:v>Corridor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SOL!$B$81</c:f>
              <c:strCache>
                <c:ptCount val="1"/>
                <c:pt idx="0">
                  <c:v>Road</c:v>
                </c:pt>
              </c:strCache>
            </c:strRef>
          </c:tx>
          <c:spPr>
            <a:solidFill>
              <a:schemeClr val="accent1"/>
            </a:solidFill>
            <a:ln w="28575">
              <a:noFill/>
            </a:ln>
            <a:effectLst/>
          </c:spPr>
          <c:invertIfNegative val="0"/>
          <c:cat>
            <c:numRef>
              <c:f>SOL!$C$51:$L$51</c:f>
              <c:numCache>
                <c:formatCode>General</c:formatCode>
                <c:ptCount val="10"/>
                <c:pt idx="0">
                  <c:v>2003</c:v>
                </c:pt>
                <c:pt idx="1">
                  <c:v>2004</c:v>
                </c:pt>
                <c:pt idx="2">
                  <c:v>2005</c:v>
                </c:pt>
                <c:pt idx="3">
                  <c:v>2006</c:v>
                </c:pt>
                <c:pt idx="4">
                  <c:v>2007</c:v>
                </c:pt>
                <c:pt idx="5">
                  <c:v>2008</c:v>
                </c:pt>
                <c:pt idx="6">
                  <c:v>2009</c:v>
                </c:pt>
                <c:pt idx="7">
                  <c:v>2010</c:v>
                </c:pt>
                <c:pt idx="8">
                  <c:v>2011</c:v>
                </c:pt>
                <c:pt idx="9">
                  <c:v>2012</c:v>
                </c:pt>
              </c:numCache>
            </c:numRef>
          </c:cat>
          <c:val>
            <c:numRef>
              <c:f>SOL!$C$81:$L$81</c:f>
              <c:numCache>
                <c:formatCode>General</c:formatCode>
                <c:ptCount val="10"/>
                <c:pt idx="0">
                  <c:v>0.69172932330827064</c:v>
                </c:pt>
                <c:pt idx="1">
                  <c:v>0.77443609022556392</c:v>
                </c:pt>
                <c:pt idx="2">
                  <c:v>0.7769784172661871</c:v>
                </c:pt>
                <c:pt idx="3">
                  <c:v>0.79411764705882348</c:v>
                </c:pt>
                <c:pt idx="4">
                  <c:v>0.78644067796610173</c:v>
                </c:pt>
                <c:pt idx="5">
                  <c:v>0.81366459627329191</c:v>
                </c:pt>
                <c:pt idx="6">
                  <c:v>0.85915492957746475</c:v>
                </c:pt>
                <c:pt idx="7">
                  <c:v>0.88</c:v>
                </c:pt>
                <c:pt idx="8">
                  <c:v>0.87209302325581395</c:v>
                </c:pt>
                <c:pt idx="9">
                  <c:v>0.87134502923976609</c:v>
                </c:pt>
              </c:numCache>
            </c:numRef>
          </c:val>
          <c:extLst>
            <c:ext xmlns:c16="http://schemas.microsoft.com/office/drawing/2014/chart" uri="{C3380CC4-5D6E-409C-BE32-E72D297353CC}">
              <c16:uniqueId val="{00000000-AA52-4ED1-8F83-C4558BCDFD90}"/>
            </c:ext>
          </c:extLst>
        </c:ser>
        <c:ser>
          <c:idx val="4"/>
          <c:order val="1"/>
          <c:tx>
            <c:strRef>
              <c:f>SOL!$B$82</c:f>
              <c:strCache>
                <c:ptCount val="1"/>
                <c:pt idx="0">
                  <c:v>Rail</c:v>
                </c:pt>
              </c:strCache>
            </c:strRef>
          </c:tx>
          <c:spPr>
            <a:solidFill>
              <a:schemeClr val="accent5"/>
            </a:solidFill>
            <a:ln w="28575">
              <a:noFill/>
            </a:ln>
            <a:effectLst/>
          </c:spPr>
          <c:invertIfNegative val="0"/>
          <c:dLbls>
            <c:numFmt formatCode="0%" sourceLinked="0"/>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SOL!$C$51:$L$51</c:f>
              <c:numCache>
                <c:formatCode>General</c:formatCode>
                <c:ptCount val="10"/>
                <c:pt idx="0">
                  <c:v>2003</c:v>
                </c:pt>
                <c:pt idx="1">
                  <c:v>2004</c:v>
                </c:pt>
                <c:pt idx="2">
                  <c:v>2005</c:v>
                </c:pt>
                <c:pt idx="3">
                  <c:v>2006</c:v>
                </c:pt>
                <c:pt idx="4">
                  <c:v>2007</c:v>
                </c:pt>
                <c:pt idx="5">
                  <c:v>2008</c:v>
                </c:pt>
                <c:pt idx="6">
                  <c:v>2009</c:v>
                </c:pt>
                <c:pt idx="7">
                  <c:v>2010</c:v>
                </c:pt>
                <c:pt idx="8">
                  <c:v>2011</c:v>
                </c:pt>
                <c:pt idx="9">
                  <c:v>2012</c:v>
                </c:pt>
              </c:numCache>
            </c:numRef>
          </c:cat>
          <c:val>
            <c:numRef>
              <c:f>SOL!$C$82:$L$82</c:f>
              <c:numCache>
                <c:formatCode>General</c:formatCode>
                <c:ptCount val="10"/>
                <c:pt idx="0">
                  <c:v>0.30827067669172936</c:v>
                </c:pt>
                <c:pt idx="1">
                  <c:v>0.22556390977443608</c:v>
                </c:pt>
                <c:pt idx="2">
                  <c:v>0.2230215827338129</c:v>
                </c:pt>
                <c:pt idx="3">
                  <c:v>0.20588235294117652</c:v>
                </c:pt>
                <c:pt idx="4">
                  <c:v>0.21355932203389827</c:v>
                </c:pt>
                <c:pt idx="5">
                  <c:v>0.18633540372670809</c:v>
                </c:pt>
                <c:pt idx="6">
                  <c:v>0.14084507042253525</c:v>
                </c:pt>
                <c:pt idx="7">
                  <c:v>0.12</c:v>
                </c:pt>
                <c:pt idx="8">
                  <c:v>0.12790697674418605</c:v>
                </c:pt>
                <c:pt idx="9">
                  <c:v>0.12865497076023391</c:v>
                </c:pt>
              </c:numCache>
            </c:numRef>
          </c:val>
          <c:extLst>
            <c:ext xmlns:c16="http://schemas.microsoft.com/office/drawing/2014/chart" uri="{C3380CC4-5D6E-409C-BE32-E72D297353CC}">
              <c16:uniqueId val="{00000001-AA52-4ED1-8F83-C4558BCDFD90}"/>
            </c:ext>
          </c:extLst>
        </c:ser>
        <c:dLbls>
          <c:showLegendKey val="0"/>
          <c:showVal val="0"/>
          <c:showCatName val="0"/>
          <c:showSerName val="0"/>
          <c:showPercent val="0"/>
          <c:showBubbleSize val="0"/>
        </c:dLbls>
        <c:gapWidth val="150"/>
        <c:overlap val="100"/>
        <c:axId val="618658712"/>
        <c:axId val="658602376"/>
      </c:barChart>
      <c:catAx>
        <c:axId val="6186587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602376"/>
        <c:crosses val="autoZero"/>
        <c:auto val="1"/>
        <c:lblAlgn val="ctr"/>
        <c:lblOffset val="100"/>
        <c:noMultiLvlLbl val="0"/>
      </c:catAx>
      <c:valAx>
        <c:axId val="6586023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6587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SUVs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VehicleCostData!$G$13</c:f>
              <c:strCache>
                <c:ptCount val="1"/>
                <c:pt idx="0">
                  <c:v>Diesel ICE</c:v>
                </c:pt>
              </c:strCache>
            </c:strRef>
          </c:tx>
          <c:spPr>
            <a:ln w="28575" cap="rnd">
              <a:solidFill>
                <a:schemeClr val="accent5">
                  <a:lumMod val="60000"/>
                  <a:lumOff val="40000"/>
                </a:schemeClr>
              </a:solidFill>
              <a:round/>
            </a:ln>
            <a:effectLst/>
          </c:spPr>
          <c:marker>
            <c:symbol val="none"/>
          </c:marker>
          <c:val>
            <c:numRef>
              <c:f>VehicleCostData!$N$13:$T$13</c:f>
              <c:numCache>
                <c:formatCode>#,##0</c:formatCode>
                <c:ptCount val="7"/>
                <c:pt idx="0">
                  <c:v>531433.36858461006</c:v>
                </c:pt>
                <c:pt idx="1">
                  <c:v>540089.59568363242</c:v>
                </c:pt>
                <c:pt idx="2">
                  <c:v>548745.82278265501</c:v>
                </c:pt>
                <c:pt idx="3">
                  <c:v>554771.16992257745</c:v>
                </c:pt>
                <c:pt idx="4">
                  <c:v>560796.51706249989</c:v>
                </c:pt>
                <c:pt idx="5">
                  <c:v>564269.65287362796</c:v>
                </c:pt>
                <c:pt idx="6">
                  <c:v>567742.78868475638</c:v>
                </c:pt>
              </c:numCache>
            </c:numRef>
          </c:val>
          <c:smooth val="0"/>
          <c:extLst>
            <c:ext xmlns:c16="http://schemas.microsoft.com/office/drawing/2014/chart" uri="{C3380CC4-5D6E-409C-BE32-E72D297353CC}">
              <c16:uniqueId val="{00000000-2B5D-45A4-A73E-B7164FD0142E}"/>
            </c:ext>
          </c:extLst>
        </c:ser>
        <c:ser>
          <c:idx val="1"/>
          <c:order val="1"/>
          <c:tx>
            <c:strRef>
              <c:f>VehicleCostData!$G$14</c:f>
              <c:strCache>
                <c:ptCount val="1"/>
                <c:pt idx="0">
                  <c:v>Petrol ICE</c:v>
                </c:pt>
              </c:strCache>
            </c:strRef>
          </c:tx>
          <c:spPr>
            <a:ln w="28575" cap="rnd">
              <a:solidFill>
                <a:schemeClr val="accent2"/>
              </a:solidFill>
              <a:round/>
            </a:ln>
            <a:effectLst/>
          </c:spPr>
          <c:marker>
            <c:symbol val="none"/>
          </c:marker>
          <c:val>
            <c:numRef>
              <c:f>VehicleCostData!$N$14:$T$14</c:f>
              <c:numCache>
                <c:formatCode>#,##0</c:formatCode>
                <c:ptCount val="7"/>
                <c:pt idx="0">
                  <c:v>465111.74445364263</c:v>
                </c:pt>
                <c:pt idx="1">
                  <c:v>472687.6949385287</c:v>
                </c:pt>
                <c:pt idx="2">
                  <c:v>480263.64542341494</c:v>
                </c:pt>
                <c:pt idx="3">
                  <c:v>485537.0435290928</c:v>
                </c:pt>
                <c:pt idx="4">
                  <c:v>490810.44163477066</c:v>
                </c:pt>
                <c:pt idx="5">
                  <c:v>493850.13833304268</c:v>
                </c:pt>
                <c:pt idx="6">
                  <c:v>496889.83503131487</c:v>
                </c:pt>
              </c:numCache>
            </c:numRef>
          </c:val>
          <c:smooth val="0"/>
          <c:extLst>
            <c:ext xmlns:c16="http://schemas.microsoft.com/office/drawing/2014/chart" uri="{C3380CC4-5D6E-409C-BE32-E72D297353CC}">
              <c16:uniqueId val="{00000001-2B5D-45A4-A73E-B7164FD0142E}"/>
            </c:ext>
          </c:extLst>
        </c:ser>
        <c:ser>
          <c:idx val="3"/>
          <c:order val="2"/>
          <c:tx>
            <c:strRef>
              <c:f>VehicleCostData!$G$16</c:f>
              <c:strCache>
                <c:ptCount val="1"/>
                <c:pt idx="0">
                  <c:v>Petrol HEV</c:v>
                </c:pt>
              </c:strCache>
            </c:strRef>
          </c:tx>
          <c:spPr>
            <a:ln w="28575" cap="rnd">
              <a:solidFill>
                <a:schemeClr val="accent4"/>
              </a:solidFill>
              <a:round/>
            </a:ln>
            <a:effectLst/>
          </c:spPr>
          <c:marker>
            <c:symbol val="none"/>
          </c:marker>
          <c:val>
            <c:numRef>
              <c:f>VehicleCostData!$N$16:$T$16</c:f>
              <c:numCache>
                <c:formatCode>#,##0</c:formatCode>
                <c:ptCount val="7"/>
                <c:pt idx="0">
                  <c:v>581245.26829884143</c:v>
                </c:pt>
                <c:pt idx="1">
                  <c:v>541644.93376038107</c:v>
                </c:pt>
                <c:pt idx="2">
                  <c:v>535039.50773891446</c:v>
                </c:pt>
                <c:pt idx="3">
                  <c:v>502012.37763157376</c:v>
                </c:pt>
                <c:pt idx="4">
                  <c:v>502838.05588425702</c:v>
                </c:pt>
                <c:pt idx="5">
                  <c:v>503663.73413694056</c:v>
                </c:pt>
                <c:pt idx="6">
                  <c:v>504489.41238962405</c:v>
                </c:pt>
              </c:numCache>
            </c:numRef>
          </c:val>
          <c:smooth val="0"/>
          <c:extLst>
            <c:ext xmlns:c16="http://schemas.microsoft.com/office/drawing/2014/chart" uri="{C3380CC4-5D6E-409C-BE32-E72D297353CC}">
              <c16:uniqueId val="{00000003-2B5D-45A4-A73E-B7164FD0142E}"/>
            </c:ext>
          </c:extLst>
        </c:ser>
        <c:ser>
          <c:idx val="7"/>
          <c:order val="3"/>
          <c:tx>
            <c:strRef>
              <c:f>VehicleCostData!$G$21</c:f>
              <c:strCache>
                <c:ptCount val="1"/>
                <c:pt idx="0">
                  <c:v>BEV</c:v>
                </c:pt>
              </c:strCache>
            </c:strRef>
          </c:tx>
          <c:spPr>
            <a:ln w="28575" cap="rnd">
              <a:solidFill>
                <a:schemeClr val="accent3">
                  <a:lumMod val="60000"/>
                  <a:lumOff val="40000"/>
                </a:schemeClr>
              </a:solidFill>
              <a:round/>
            </a:ln>
            <a:effectLst/>
          </c:spPr>
          <c:marker>
            <c:symbol val="none"/>
          </c:marker>
          <c:val>
            <c:numRef>
              <c:f>VehicleCostData!$N$21:$T$21</c:f>
              <c:numCache>
                <c:formatCode>#,##0</c:formatCode>
                <c:ptCount val="7"/>
                <c:pt idx="0">
                  <c:v>715567.54560985044</c:v>
                </c:pt>
                <c:pt idx="1">
                  <c:v>646426.56041122181</c:v>
                </c:pt>
                <c:pt idx="2">
                  <c:v>628100.03421399835</c:v>
                </c:pt>
                <c:pt idx="3">
                  <c:v>536467.40322787163</c:v>
                </c:pt>
                <c:pt idx="4">
                  <c:v>519806.92486675939</c:v>
                </c:pt>
                <c:pt idx="5">
                  <c:v>503146.44650564581</c:v>
                </c:pt>
                <c:pt idx="6">
                  <c:v>486485.96814453235</c:v>
                </c:pt>
              </c:numCache>
            </c:numRef>
          </c:val>
          <c:smooth val="0"/>
          <c:extLst>
            <c:ext xmlns:c16="http://schemas.microsoft.com/office/drawing/2014/chart" uri="{C3380CC4-5D6E-409C-BE32-E72D297353CC}">
              <c16:uniqueId val="{00000007-2B5D-45A4-A73E-B7164FD0142E}"/>
            </c:ext>
          </c:extLst>
        </c:ser>
        <c:dLbls>
          <c:showLegendKey val="0"/>
          <c:showVal val="0"/>
          <c:showCatName val="0"/>
          <c:showSerName val="0"/>
          <c:showPercent val="0"/>
          <c:showBubbleSize val="0"/>
        </c:dLbls>
        <c:smooth val="0"/>
        <c:axId val="1261155247"/>
        <c:axId val="1261158127"/>
      </c:lineChart>
      <c:catAx>
        <c:axId val="1261155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1158127"/>
        <c:crosses val="autoZero"/>
        <c:auto val="1"/>
        <c:lblAlgn val="ctr"/>
        <c:lblOffset val="100"/>
        <c:noMultiLvlLbl val="0"/>
      </c:catAx>
      <c:valAx>
        <c:axId val="126115812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11552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Cars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VehicleCostData!$G$13</c:f>
              <c:strCache>
                <c:ptCount val="1"/>
                <c:pt idx="0">
                  <c:v>Diesel ICE</c:v>
                </c:pt>
              </c:strCache>
            </c:strRef>
          </c:tx>
          <c:spPr>
            <a:ln w="28575" cap="rnd">
              <a:solidFill>
                <a:schemeClr val="accent5">
                  <a:lumMod val="40000"/>
                  <a:lumOff val="60000"/>
                </a:schemeClr>
              </a:solidFill>
              <a:round/>
            </a:ln>
            <a:effectLst/>
          </c:spPr>
          <c:marker>
            <c:symbol val="none"/>
          </c:marker>
          <c:val>
            <c:numRef>
              <c:f>VehicleCostData!$N$22:$T$22</c:f>
              <c:numCache>
                <c:formatCode>#,##0</c:formatCode>
                <c:ptCount val="7"/>
                <c:pt idx="0">
                  <c:v>338412.50876023661</c:v>
                </c:pt>
                <c:pt idx="1">
                  <c:v>343924.72478231374</c:v>
                </c:pt>
                <c:pt idx="2">
                  <c:v>349436.94080439105</c:v>
                </c:pt>
                <c:pt idx="3">
                  <c:v>353273.83355955087</c:v>
                </c:pt>
                <c:pt idx="4">
                  <c:v>357110.72631471069</c:v>
                </c:pt>
                <c:pt idx="5">
                  <c:v>359322.39135606709</c:v>
                </c:pt>
                <c:pt idx="6">
                  <c:v>361534.05639742367</c:v>
                </c:pt>
              </c:numCache>
            </c:numRef>
          </c:val>
          <c:smooth val="0"/>
          <c:extLst>
            <c:ext xmlns:c16="http://schemas.microsoft.com/office/drawing/2014/chart" uri="{C3380CC4-5D6E-409C-BE32-E72D297353CC}">
              <c16:uniqueId val="{00000000-64BE-4D2D-8210-A58C356D1EEF}"/>
            </c:ext>
          </c:extLst>
        </c:ser>
        <c:ser>
          <c:idx val="1"/>
          <c:order val="1"/>
          <c:tx>
            <c:strRef>
              <c:f>VehicleCostData!$G$14</c:f>
              <c:strCache>
                <c:ptCount val="1"/>
                <c:pt idx="0">
                  <c:v>Petrol ICE</c:v>
                </c:pt>
              </c:strCache>
            </c:strRef>
          </c:tx>
          <c:spPr>
            <a:ln w="28575" cap="rnd">
              <a:solidFill>
                <a:schemeClr val="accent2"/>
              </a:solidFill>
              <a:round/>
            </a:ln>
            <a:effectLst/>
          </c:spPr>
          <c:marker>
            <c:symbol val="none"/>
          </c:marker>
          <c:val>
            <c:numRef>
              <c:f>VehicleCostData!$N$23:$T$23</c:f>
              <c:numCache>
                <c:formatCode>#,##0</c:formatCode>
                <c:ptCount val="7"/>
                <c:pt idx="0">
                  <c:v>286400.9485118576</c:v>
                </c:pt>
                <c:pt idx="1">
                  <c:v>291065.97671341163</c:v>
                </c:pt>
                <c:pt idx="2">
                  <c:v>295731.00491496577</c:v>
                </c:pt>
                <c:pt idx="3">
                  <c:v>298978.19494479592</c:v>
                </c:pt>
                <c:pt idx="4">
                  <c:v>302225.38497462607</c:v>
                </c:pt>
                <c:pt idx="5">
                  <c:v>304097.13306087593</c:v>
                </c:pt>
                <c:pt idx="6">
                  <c:v>305968.88114712597</c:v>
                </c:pt>
              </c:numCache>
            </c:numRef>
          </c:val>
          <c:smooth val="0"/>
          <c:extLst>
            <c:ext xmlns:c16="http://schemas.microsoft.com/office/drawing/2014/chart" uri="{C3380CC4-5D6E-409C-BE32-E72D297353CC}">
              <c16:uniqueId val="{00000001-64BE-4D2D-8210-A58C356D1EEF}"/>
            </c:ext>
          </c:extLst>
        </c:ser>
        <c:ser>
          <c:idx val="3"/>
          <c:order val="2"/>
          <c:tx>
            <c:strRef>
              <c:f>VehicleCostData!$G$16</c:f>
              <c:strCache>
                <c:ptCount val="1"/>
                <c:pt idx="0">
                  <c:v>Petrol HEV</c:v>
                </c:pt>
              </c:strCache>
            </c:strRef>
          </c:tx>
          <c:spPr>
            <a:ln w="28575" cap="rnd">
              <a:solidFill>
                <a:schemeClr val="accent4"/>
              </a:solidFill>
              <a:round/>
            </a:ln>
            <a:effectLst/>
          </c:spPr>
          <c:marker>
            <c:symbol val="none"/>
          </c:marker>
          <c:val>
            <c:numRef>
              <c:f>VehicleCostData!$N$25:$T$25</c:f>
              <c:numCache>
                <c:formatCode>#,##0</c:formatCode>
                <c:ptCount val="7"/>
                <c:pt idx="0">
                  <c:v>411886.59587750823</c:v>
                </c:pt>
                <c:pt idx="1">
                  <c:v>383824.69519934064</c:v>
                </c:pt>
                <c:pt idx="2">
                  <c:v>379143.90623349609</c:v>
                </c:pt>
                <c:pt idx="3">
                  <c:v>355739.9614042677</c:v>
                </c:pt>
                <c:pt idx="4">
                  <c:v>356325.06002499821</c:v>
                </c:pt>
                <c:pt idx="5">
                  <c:v>356910.15864572895</c:v>
                </c:pt>
                <c:pt idx="6">
                  <c:v>357495.25726645964</c:v>
                </c:pt>
              </c:numCache>
            </c:numRef>
          </c:val>
          <c:smooth val="0"/>
          <c:extLst>
            <c:ext xmlns:c16="http://schemas.microsoft.com/office/drawing/2014/chart" uri="{C3380CC4-5D6E-409C-BE32-E72D297353CC}">
              <c16:uniqueId val="{00000002-64BE-4D2D-8210-A58C356D1EEF}"/>
            </c:ext>
          </c:extLst>
        </c:ser>
        <c:ser>
          <c:idx val="7"/>
          <c:order val="3"/>
          <c:tx>
            <c:strRef>
              <c:f>VehicleCostData!$G$21</c:f>
              <c:strCache>
                <c:ptCount val="1"/>
                <c:pt idx="0">
                  <c:v>BEV</c:v>
                </c:pt>
              </c:strCache>
            </c:strRef>
          </c:tx>
          <c:spPr>
            <a:ln w="28575" cap="rnd">
              <a:solidFill>
                <a:schemeClr val="accent3">
                  <a:lumMod val="60000"/>
                  <a:lumOff val="40000"/>
                </a:schemeClr>
              </a:solidFill>
              <a:round/>
            </a:ln>
            <a:effectLst/>
          </c:spPr>
          <c:marker>
            <c:symbol val="none"/>
          </c:marker>
          <c:val>
            <c:numRef>
              <c:f>VehicleCostData!$N$27:$T$27</c:f>
              <c:numCache>
                <c:formatCode>#,##0</c:formatCode>
                <c:ptCount val="7"/>
                <c:pt idx="0">
                  <c:v>490934.7846193263</c:v>
                </c:pt>
                <c:pt idx="1">
                  <c:v>443498.71113456832</c:v>
                </c:pt>
                <c:pt idx="2">
                  <c:v>430925.29406632157</c:v>
                </c:pt>
                <c:pt idx="3">
                  <c:v>368058.20872508123</c:v>
                </c:pt>
                <c:pt idx="4">
                  <c:v>356627.82957212965</c:v>
                </c:pt>
                <c:pt idx="5">
                  <c:v>345197.45041917713</c:v>
                </c:pt>
                <c:pt idx="6">
                  <c:v>333767.07126622467</c:v>
                </c:pt>
              </c:numCache>
            </c:numRef>
          </c:val>
          <c:smooth val="0"/>
          <c:extLst>
            <c:ext xmlns:c16="http://schemas.microsoft.com/office/drawing/2014/chart" uri="{C3380CC4-5D6E-409C-BE32-E72D297353CC}">
              <c16:uniqueId val="{00000003-64BE-4D2D-8210-A58C356D1EEF}"/>
            </c:ext>
          </c:extLst>
        </c:ser>
        <c:dLbls>
          <c:showLegendKey val="0"/>
          <c:showVal val="0"/>
          <c:showCatName val="0"/>
          <c:showSerName val="0"/>
          <c:showPercent val="0"/>
          <c:showBubbleSize val="0"/>
        </c:dLbls>
        <c:smooth val="0"/>
        <c:axId val="1261155247"/>
        <c:axId val="1261158127"/>
      </c:lineChart>
      <c:catAx>
        <c:axId val="1261155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1158127"/>
        <c:crosses val="autoZero"/>
        <c:auto val="1"/>
        <c:lblAlgn val="ctr"/>
        <c:lblOffset val="100"/>
        <c:noMultiLvlLbl val="0"/>
      </c:catAx>
      <c:valAx>
        <c:axId val="126115812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11552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IEAWEO2023!$A$11</c:f>
          <c:strCache>
            <c:ptCount val="1"/>
            <c:pt idx="0">
              <c:v>BEV</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IEAWEO2023!$B$11</c:f>
              <c:strCache>
                <c:ptCount val="1"/>
                <c:pt idx="0">
                  <c:v>STEPS</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IEAWEO2023!$C$7:$F$7</c:f>
              <c:numCache>
                <c:formatCode>General</c:formatCode>
                <c:ptCount val="4"/>
                <c:pt idx="0">
                  <c:v>2020</c:v>
                </c:pt>
                <c:pt idx="1">
                  <c:v>2022</c:v>
                </c:pt>
                <c:pt idx="2">
                  <c:v>2030</c:v>
                </c:pt>
                <c:pt idx="3">
                  <c:v>2050</c:v>
                </c:pt>
              </c:numCache>
            </c:numRef>
          </c:xVal>
          <c:yVal>
            <c:numRef>
              <c:f>IEAWEO2023!$C$11:$F$11</c:f>
              <c:numCache>
                <c:formatCode>0.000</c:formatCode>
                <c:ptCount val="4"/>
                <c:pt idx="0">
                  <c:v>1.0475609756097555</c:v>
                </c:pt>
                <c:pt idx="1">
                  <c:v>1</c:v>
                </c:pt>
                <c:pt idx="2">
                  <c:v>0.80975609756097566</c:v>
                </c:pt>
                <c:pt idx="3">
                  <c:v>0.71707317073170729</c:v>
                </c:pt>
              </c:numCache>
            </c:numRef>
          </c:yVal>
          <c:smooth val="0"/>
          <c:extLst>
            <c:ext xmlns:c16="http://schemas.microsoft.com/office/drawing/2014/chart" uri="{C3380CC4-5D6E-409C-BE32-E72D297353CC}">
              <c16:uniqueId val="{00000000-D55A-4B1C-9814-0A95F1EB53D7}"/>
            </c:ext>
          </c:extLst>
        </c:ser>
        <c:ser>
          <c:idx val="1"/>
          <c:order val="1"/>
          <c:tx>
            <c:strRef>
              <c:f>IEAWEO2023!$B$12</c:f>
              <c:strCache>
                <c:ptCount val="1"/>
                <c:pt idx="0">
                  <c:v>APS</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IEAWEO2023!$C$7:$F$7</c:f>
              <c:numCache>
                <c:formatCode>General</c:formatCode>
                <c:ptCount val="4"/>
                <c:pt idx="0">
                  <c:v>2020</c:v>
                </c:pt>
                <c:pt idx="1">
                  <c:v>2022</c:v>
                </c:pt>
                <c:pt idx="2">
                  <c:v>2030</c:v>
                </c:pt>
                <c:pt idx="3">
                  <c:v>2050</c:v>
                </c:pt>
              </c:numCache>
            </c:numRef>
          </c:xVal>
          <c:yVal>
            <c:numRef>
              <c:f>IEAWEO2023!$C$12:$F$12</c:f>
              <c:numCache>
                <c:formatCode>0.000</c:formatCode>
                <c:ptCount val="4"/>
                <c:pt idx="0">
                  <c:v>1.0475609756097555</c:v>
                </c:pt>
                <c:pt idx="1">
                  <c:v>1</c:v>
                </c:pt>
                <c:pt idx="2">
                  <c:v>0.78536585365853662</c:v>
                </c:pt>
                <c:pt idx="3">
                  <c:v>0.68780487804878043</c:v>
                </c:pt>
              </c:numCache>
            </c:numRef>
          </c:yVal>
          <c:smooth val="0"/>
          <c:extLst>
            <c:ext xmlns:c16="http://schemas.microsoft.com/office/drawing/2014/chart" uri="{C3380CC4-5D6E-409C-BE32-E72D297353CC}">
              <c16:uniqueId val="{00000001-D55A-4B1C-9814-0A95F1EB53D7}"/>
            </c:ext>
          </c:extLst>
        </c:ser>
        <c:ser>
          <c:idx val="2"/>
          <c:order val="2"/>
          <c:tx>
            <c:strRef>
              <c:f>IEAWEO2023!$B$13</c:f>
              <c:strCache>
                <c:ptCount val="1"/>
                <c:pt idx="0">
                  <c:v>NZE</c:v>
                </c:pt>
              </c:strCache>
            </c:strRef>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IEAWEO2023!$C$7:$F$7</c:f>
              <c:numCache>
                <c:formatCode>General</c:formatCode>
                <c:ptCount val="4"/>
                <c:pt idx="0">
                  <c:v>2020</c:v>
                </c:pt>
                <c:pt idx="1">
                  <c:v>2022</c:v>
                </c:pt>
                <c:pt idx="2">
                  <c:v>2030</c:v>
                </c:pt>
                <c:pt idx="3">
                  <c:v>2050</c:v>
                </c:pt>
              </c:numCache>
            </c:numRef>
          </c:xVal>
          <c:yVal>
            <c:numRef>
              <c:f>IEAWEO2023!$C$13:$F$13</c:f>
              <c:numCache>
                <c:formatCode>0.000</c:formatCode>
                <c:ptCount val="4"/>
                <c:pt idx="0">
                  <c:v>1.0475609756097555</c:v>
                </c:pt>
                <c:pt idx="1">
                  <c:v>1</c:v>
                </c:pt>
                <c:pt idx="2">
                  <c:v>0.76097560975609757</c:v>
                </c:pt>
                <c:pt idx="3">
                  <c:v>0.66829268292682931</c:v>
                </c:pt>
              </c:numCache>
            </c:numRef>
          </c:yVal>
          <c:smooth val="0"/>
          <c:extLst>
            <c:ext xmlns:c16="http://schemas.microsoft.com/office/drawing/2014/chart" uri="{C3380CC4-5D6E-409C-BE32-E72D297353CC}">
              <c16:uniqueId val="{00000002-D55A-4B1C-9814-0A95F1EB53D7}"/>
            </c:ext>
          </c:extLst>
        </c:ser>
        <c:dLbls>
          <c:showLegendKey val="0"/>
          <c:showVal val="0"/>
          <c:showCatName val="0"/>
          <c:showSerName val="0"/>
          <c:showPercent val="0"/>
          <c:showBubbleSize val="0"/>
        </c:dLbls>
        <c:axId val="1874823248"/>
        <c:axId val="1588132496"/>
      </c:scatterChart>
      <c:valAx>
        <c:axId val="18748232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8132496"/>
        <c:crosses val="autoZero"/>
        <c:crossBetween val="midCat"/>
      </c:valAx>
      <c:valAx>
        <c:axId val="1588132496"/>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482324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IEAWEO2023!$A$17</c:f>
          <c:strCache>
            <c:ptCount val="1"/>
            <c:pt idx="0">
              <c:v>HEV</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IEAWEO2023!$B$17</c:f>
              <c:strCache>
                <c:ptCount val="1"/>
                <c:pt idx="0">
                  <c:v>STEPS</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IEAWEO2023!$C$7:$F$7</c:f>
              <c:numCache>
                <c:formatCode>General</c:formatCode>
                <c:ptCount val="4"/>
                <c:pt idx="0">
                  <c:v>2020</c:v>
                </c:pt>
                <c:pt idx="1">
                  <c:v>2022</c:v>
                </c:pt>
                <c:pt idx="2">
                  <c:v>2030</c:v>
                </c:pt>
                <c:pt idx="3">
                  <c:v>2050</c:v>
                </c:pt>
              </c:numCache>
            </c:numRef>
          </c:xVal>
          <c:yVal>
            <c:numRef>
              <c:f>IEAWEO2023!$C$17:$F$17</c:f>
              <c:numCache>
                <c:formatCode>0.000</c:formatCode>
                <c:ptCount val="4"/>
                <c:pt idx="0">
                  <c:v>1.0475609756097555</c:v>
                </c:pt>
                <c:pt idx="1">
                  <c:v>1</c:v>
                </c:pt>
                <c:pt idx="2">
                  <c:v>0.9107142857142857</c:v>
                </c:pt>
                <c:pt idx="3">
                  <c:v>0.91666666666666663</c:v>
                </c:pt>
              </c:numCache>
            </c:numRef>
          </c:yVal>
          <c:smooth val="0"/>
          <c:extLst>
            <c:ext xmlns:c16="http://schemas.microsoft.com/office/drawing/2014/chart" uri="{C3380CC4-5D6E-409C-BE32-E72D297353CC}">
              <c16:uniqueId val="{00000000-3D22-4BB8-96D1-6D6F8AE64654}"/>
            </c:ext>
          </c:extLst>
        </c:ser>
        <c:ser>
          <c:idx val="1"/>
          <c:order val="1"/>
          <c:tx>
            <c:strRef>
              <c:f>IEAWEO2023!$B$18</c:f>
              <c:strCache>
                <c:ptCount val="1"/>
                <c:pt idx="0">
                  <c:v>APS</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IEAWEO2023!$C$7:$F$7</c:f>
              <c:numCache>
                <c:formatCode>General</c:formatCode>
                <c:ptCount val="4"/>
                <c:pt idx="0">
                  <c:v>2020</c:v>
                </c:pt>
                <c:pt idx="1">
                  <c:v>2022</c:v>
                </c:pt>
                <c:pt idx="2">
                  <c:v>2030</c:v>
                </c:pt>
                <c:pt idx="3">
                  <c:v>2050</c:v>
                </c:pt>
              </c:numCache>
            </c:numRef>
          </c:xVal>
          <c:yVal>
            <c:numRef>
              <c:f>IEAWEO2023!$C$18:$F$18</c:f>
              <c:numCache>
                <c:formatCode>0.000</c:formatCode>
                <c:ptCount val="4"/>
                <c:pt idx="0">
                  <c:v>1.0475609756097555</c:v>
                </c:pt>
                <c:pt idx="1">
                  <c:v>1</c:v>
                </c:pt>
                <c:pt idx="2">
                  <c:v>0.90476190476190477</c:v>
                </c:pt>
                <c:pt idx="3">
                  <c:v>0.9107142857142857</c:v>
                </c:pt>
              </c:numCache>
            </c:numRef>
          </c:yVal>
          <c:smooth val="0"/>
          <c:extLst>
            <c:ext xmlns:c16="http://schemas.microsoft.com/office/drawing/2014/chart" uri="{C3380CC4-5D6E-409C-BE32-E72D297353CC}">
              <c16:uniqueId val="{00000001-3D22-4BB8-96D1-6D6F8AE64654}"/>
            </c:ext>
          </c:extLst>
        </c:ser>
        <c:ser>
          <c:idx val="2"/>
          <c:order val="2"/>
          <c:tx>
            <c:strRef>
              <c:f>IEAWEO2023!$B$19</c:f>
              <c:strCache>
                <c:ptCount val="1"/>
                <c:pt idx="0">
                  <c:v>NZE</c:v>
                </c:pt>
              </c:strCache>
            </c:strRef>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IEAWEO2023!$C$7:$F$7</c:f>
              <c:numCache>
                <c:formatCode>General</c:formatCode>
                <c:ptCount val="4"/>
                <c:pt idx="0">
                  <c:v>2020</c:v>
                </c:pt>
                <c:pt idx="1">
                  <c:v>2022</c:v>
                </c:pt>
                <c:pt idx="2">
                  <c:v>2030</c:v>
                </c:pt>
                <c:pt idx="3">
                  <c:v>2050</c:v>
                </c:pt>
              </c:numCache>
            </c:numRef>
          </c:xVal>
          <c:yVal>
            <c:numRef>
              <c:f>IEAWEO2023!$C$19:$F$19</c:f>
              <c:numCache>
                <c:formatCode>0.000</c:formatCode>
                <c:ptCount val="4"/>
                <c:pt idx="0">
                  <c:v>1.0475609756097555</c:v>
                </c:pt>
                <c:pt idx="1">
                  <c:v>1</c:v>
                </c:pt>
                <c:pt idx="2">
                  <c:v>0.89880952380952384</c:v>
                </c:pt>
                <c:pt idx="3">
                  <c:v>0.90476190476190477</c:v>
                </c:pt>
              </c:numCache>
            </c:numRef>
          </c:yVal>
          <c:smooth val="0"/>
          <c:extLst>
            <c:ext xmlns:c16="http://schemas.microsoft.com/office/drawing/2014/chart" uri="{C3380CC4-5D6E-409C-BE32-E72D297353CC}">
              <c16:uniqueId val="{00000002-3D22-4BB8-96D1-6D6F8AE64654}"/>
            </c:ext>
          </c:extLst>
        </c:ser>
        <c:dLbls>
          <c:showLegendKey val="0"/>
          <c:showVal val="0"/>
          <c:showCatName val="0"/>
          <c:showSerName val="0"/>
          <c:showPercent val="0"/>
          <c:showBubbleSize val="0"/>
        </c:dLbls>
        <c:axId val="1874823248"/>
        <c:axId val="1588132496"/>
      </c:scatterChart>
      <c:valAx>
        <c:axId val="18748232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8132496"/>
        <c:crosses val="autoZero"/>
        <c:crossBetween val="midCat"/>
      </c:valAx>
      <c:valAx>
        <c:axId val="1588132496"/>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482324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ly"/>
            <c:order val="2"/>
            <c:dispRSqr val="1"/>
            <c:dispEq val="1"/>
            <c:trendlineLbl>
              <c:layout>
                <c:manualLayout>
                  <c:x val="2.1253718285214347E-2"/>
                  <c:y val="-0.32669874599008458"/>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NREL_2022!$O$40:$U$40</c:f>
              <c:numCache>
                <c:formatCode>General</c:formatCode>
                <c:ptCount val="7"/>
                <c:pt idx="0">
                  <c:v>2020</c:v>
                </c:pt>
                <c:pt idx="1">
                  <c:v>2025</c:v>
                </c:pt>
                <c:pt idx="2">
                  <c:v>2030</c:v>
                </c:pt>
                <c:pt idx="3">
                  <c:v>2035</c:v>
                </c:pt>
                <c:pt idx="4">
                  <c:v>2040</c:v>
                </c:pt>
                <c:pt idx="5">
                  <c:v>2045</c:v>
                </c:pt>
                <c:pt idx="6">
                  <c:v>2050</c:v>
                </c:pt>
              </c:numCache>
            </c:numRef>
          </c:xVal>
          <c:yVal>
            <c:numRef>
              <c:f>NREL_2022!$O$44:$U$44</c:f>
              <c:numCache>
                <c:formatCode>0.000</c:formatCode>
                <c:ptCount val="7"/>
                <c:pt idx="0">
                  <c:v>1.0658386767291714</c:v>
                </c:pt>
                <c:pt idx="1">
                  <c:v>1.03</c:v>
                </c:pt>
                <c:pt idx="2">
                  <c:v>0.998</c:v>
                </c:pt>
                <c:pt idx="3">
                  <c:v>0.97499999999999998</c:v>
                </c:pt>
                <c:pt idx="4">
                  <c:v>0.96100705017736432</c:v>
                </c:pt>
                <c:pt idx="5">
                  <c:v>0.95510073871925838</c:v>
                </c:pt>
                <c:pt idx="6">
                  <c:v>0.94919442726115255</c:v>
                </c:pt>
              </c:numCache>
            </c:numRef>
          </c:yVal>
          <c:smooth val="1"/>
          <c:extLst>
            <c:ext xmlns:c16="http://schemas.microsoft.com/office/drawing/2014/chart" uri="{C3380CC4-5D6E-409C-BE32-E72D297353CC}">
              <c16:uniqueId val="{00000000-E60F-406A-B630-DEAE1F3786E2}"/>
            </c:ext>
          </c:extLst>
        </c:ser>
        <c:dLbls>
          <c:showLegendKey val="0"/>
          <c:showVal val="0"/>
          <c:showCatName val="0"/>
          <c:showSerName val="0"/>
          <c:showPercent val="0"/>
          <c:showBubbleSize val="0"/>
        </c:dLbls>
        <c:axId val="1127715920"/>
        <c:axId val="1127717840"/>
      </c:scatterChart>
      <c:valAx>
        <c:axId val="11277159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7717840"/>
        <c:crosses val="autoZero"/>
        <c:crossBetween val="midCat"/>
      </c:valAx>
      <c:valAx>
        <c:axId val="1127717840"/>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771592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ly"/>
            <c:order val="2"/>
            <c:dispRSqr val="0"/>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NREL_LCVs!$Q$9:$V$9</c:f>
              <c:numCache>
                <c:formatCode>General</c:formatCode>
                <c:ptCount val="6"/>
                <c:pt idx="0">
                  <c:v>2025</c:v>
                </c:pt>
                <c:pt idx="1">
                  <c:v>2030</c:v>
                </c:pt>
                <c:pt idx="2">
                  <c:v>2035</c:v>
                </c:pt>
                <c:pt idx="3">
                  <c:v>2040</c:v>
                </c:pt>
                <c:pt idx="4">
                  <c:v>2045</c:v>
                </c:pt>
                <c:pt idx="5">
                  <c:v>2050</c:v>
                </c:pt>
              </c:numCache>
            </c:numRef>
          </c:xVal>
          <c:yVal>
            <c:numRef>
              <c:f>NREL_LCVs!$Q$15:$V$15</c:f>
              <c:numCache>
                <c:formatCode>_(* #\ ##0_);_(* \(#\ ##0\);_(* "-"_);_(@_)</c:formatCode>
                <c:ptCount val="6"/>
                <c:pt idx="0">
                  <c:v>423729.89290144888</c:v>
                </c:pt>
                <c:pt idx="1">
                  <c:v>388086.65635265608</c:v>
                </c:pt>
                <c:pt idx="2">
                  <c:v>355131.86362513277</c:v>
                </c:pt>
                <c:pt idx="3">
                  <c:v>342292.31434550683</c:v>
                </c:pt>
                <c:pt idx="4">
                  <c:v>330667.12332752673</c:v>
                </c:pt>
                <c:pt idx="5">
                  <c:v>342077.66876375925</c:v>
                </c:pt>
              </c:numCache>
            </c:numRef>
          </c:yVal>
          <c:smooth val="0"/>
          <c:extLst>
            <c:ext xmlns:c16="http://schemas.microsoft.com/office/drawing/2014/chart" uri="{C3380CC4-5D6E-409C-BE32-E72D297353CC}">
              <c16:uniqueId val="{00000001-A283-4197-8276-5ADCA118DF4B}"/>
            </c:ext>
          </c:extLst>
        </c:ser>
        <c:dLbls>
          <c:showLegendKey val="0"/>
          <c:showVal val="0"/>
          <c:showCatName val="0"/>
          <c:showSerName val="0"/>
          <c:showPercent val="0"/>
          <c:showBubbleSize val="0"/>
        </c:dLbls>
        <c:axId val="1346803711"/>
        <c:axId val="1352254159"/>
      </c:scatterChart>
      <c:valAx>
        <c:axId val="134680371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2254159"/>
        <c:crosses val="autoZero"/>
        <c:crossBetween val="midCat"/>
      </c:valAx>
      <c:valAx>
        <c:axId val="1352254159"/>
        <c:scaling>
          <c:orientation val="minMax"/>
        </c:scaling>
        <c:delete val="0"/>
        <c:axPos val="l"/>
        <c:majorGridlines>
          <c:spPr>
            <a:ln w="9525" cap="flat" cmpd="sng" algn="ctr">
              <a:solidFill>
                <a:schemeClr val="tx1">
                  <a:lumMod val="15000"/>
                  <a:lumOff val="85000"/>
                </a:schemeClr>
              </a:solidFill>
              <a:round/>
            </a:ln>
            <a:effectLst/>
          </c:spPr>
        </c:majorGridlines>
        <c:numFmt formatCode="_(* #\ ##0_);_(* \(#\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680371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image" Target="../media/image4.emf"/><Relationship Id="rId1" Type="http://schemas.openxmlformats.org/officeDocument/2006/relationships/image" Target="../media/image3.emf"/></Relationships>
</file>

<file path=xl/drawings/_rels/drawing5.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chart" Target="../charts/chart2.xml"/><Relationship Id="rId4" Type="http://schemas.openxmlformats.org/officeDocument/2006/relationships/image" Target="../media/image7.png"/></Relationships>
</file>

<file path=xl/drawings/_rels/drawing6.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image" Target="../media/image8.png"/></Relationships>
</file>

<file path=xl/drawings/_rels/drawing8.xml.rels><?xml version="1.0" encoding="UTF-8" standalone="yes"?>
<Relationships xmlns="http://schemas.openxmlformats.org/package/2006/relationships"><Relationship Id="rId1" Type="http://schemas.openxmlformats.org/officeDocument/2006/relationships/chart" Target="../charts/chart7.xml"/></Relationships>
</file>

<file path=xl/drawings/_rels/drawing9.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17</xdr:col>
      <xdr:colOff>179294</xdr:colOff>
      <xdr:row>81</xdr:row>
      <xdr:rowOff>78441</xdr:rowOff>
    </xdr:from>
    <xdr:to>
      <xdr:col>21</xdr:col>
      <xdr:colOff>593911</xdr:colOff>
      <xdr:row>98</xdr:row>
      <xdr:rowOff>11205</xdr:rowOff>
    </xdr:to>
    <xdr:sp macro="" textlink="">
      <xdr:nvSpPr>
        <xdr:cNvPr id="2" name="TextBox 1">
          <a:extLst>
            <a:ext uri="{FF2B5EF4-FFF2-40B4-BE49-F238E27FC236}">
              <a16:creationId xmlns:a16="http://schemas.microsoft.com/office/drawing/2014/main" id="{81F3725B-D24D-410F-8050-6974F3C990F8}"/>
            </a:ext>
          </a:extLst>
        </xdr:cNvPr>
        <xdr:cNvSpPr txBox="1"/>
      </xdr:nvSpPr>
      <xdr:spPr>
        <a:xfrm>
          <a:off x="20132264" y="14765991"/>
          <a:ext cx="4975187" cy="301124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1" u="none" strike="noStrike" baseline="0">
              <a:solidFill>
                <a:schemeClr val="dk1"/>
              </a:solidFill>
              <a:latin typeface="+mn-lt"/>
              <a:ea typeface="+mn-ea"/>
              <a:cs typeface="+mn-cs"/>
            </a:rPr>
            <a:t>Ownership of bicycles and/or access to cars</a:t>
          </a:r>
        </a:p>
        <a:p>
          <a:r>
            <a:rPr lang="en-ZA" sz="1100" b="0" i="0" u="none" strike="noStrike" baseline="0">
              <a:solidFill>
                <a:schemeClr val="dk1"/>
              </a:solidFill>
              <a:latin typeface="+mn-lt"/>
              <a:ea typeface="+mn-ea"/>
              <a:cs typeface="+mn-cs"/>
            </a:rPr>
            <a:t>Close to a million households owned between one and three bicycles, and about 44 000 owned more than three</a:t>
          </a:r>
        </a:p>
        <a:p>
          <a:r>
            <a:rPr lang="en-ZA" sz="1100" b="0" i="0" u="none" strike="noStrike" baseline="0">
              <a:solidFill>
                <a:schemeClr val="dk1"/>
              </a:solidFill>
              <a:latin typeface="+mn-lt"/>
              <a:ea typeface="+mn-ea"/>
              <a:cs typeface="+mn-cs"/>
            </a:rPr>
            <a:t>bicycles. There has been a significant increase from 2003 to 2013 in the percentage of households who owned or</a:t>
          </a:r>
        </a:p>
        <a:p>
          <a:r>
            <a:rPr lang="en-ZA" sz="1100" b="0" i="0" u="none" strike="noStrike" baseline="0">
              <a:solidFill>
                <a:schemeClr val="dk1"/>
              </a:solidFill>
              <a:latin typeface="+mn-lt"/>
              <a:ea typeface="+mn-ea"/>
              <a:cs typeface="+mn-cs"/>
            </a:rPr>
            <a:t>had access to cars (from 22,9% to 28,5%).Household ownership or access to motorcycles, kombis and other</a:t>
          </a:r>
        </a:p>
        <a:p>
          <a:r>
            <a:rPr lang="en-ZA" sz="1100" b="0" i="0" u="none" strike="noStrike" baseline="0">
              <a:solidFill>
                <a:schemeClr val="dk1"/>
              </a:solidFill>
              <a:latin typeface="+mn-lt"/>
              <a:ea typeface="+mn-ea"/>
              <a:cs typeface="+mn-cs"/>
            </a:rPr>
            <a:t>transport modes remained relatively unchanged during this period, whilst ownership/access to company cars had</a:t>
          </a:r>
        </a:p>
        <a:p>
          <a:r>
            <a:rPr lang="en-ZA" sz="1100" b="0" i="0" u="none" strike="noStrike" baseline="0">
              <a:solidFill>
                <a:schemeClr val="dk1"/>
              </a:solidFill>
              <a:latin typeface="+mn-lt"/>
              <a:ea typeface="+mn-ea"/>
              <a:cs typeface="+mn-cs"/>
            </a:rPr>
            <a:t>decreased.</a:t>
          </a:r>
        </a:p>
        <a:p>
          <a:endParaRPr lang="en-ZA" sz="1100" b="0" i="0" u="none" strike="noStrike" baseline="0">
            <a:solidFill>
              <a:schemeClr val="dk1"/>
            </a:solidFill>
            <a:latin typeface="+mn-lt"/>
            <a:ea typeface="+mn-ea"/>
            <a:cs typeface="+mn-cs"/>
          </a:endParaRPr>
        </a:p>
        <a:p>
          <a:r>
            <a:rPr lang="en-ZA" sz="1100" b="0" i="0" u="none" strike="noStrike" baseline="0">
              <a:solidFill>
                <a:schemeClr val="dk1"/>
              </a:solidFill>
              <a:latin typeface="+mn-lt"/>
              <a:ea typeface="+mn-ea"/>
              <a:cs typeface="+mn-cs"/>
            </a:rPr>
            <a:t> NHTS 2013</a:t>
          </a:r>
          <a:endParaRPr lang="en-ZA"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17</xdr:col>
      <xdr:colOff>179294</xdr:colOff>
      <xdr:row>81</xdr:row>
      <xdr:rowOff>78441</xdr:rowOff>
    </xdr:from>
    <xdr:to>
      <xdr:col>21</xdr:col>
      <xdr:colOff>593911</xdr:colOff>
      <xdr:row>98</xdr:row>
      <xdr:rowOff>11205</xdr:rowOff>
    </xdr:to>
    <xdr:sp macro="" textlink="">
      <xdr:nvSpPr>
        <xdr:cNvPr id="2" name="TextBox 1">
          <a:extLst>
            <a:ext uri="{FF2B5EF4-FFF2-40B4-BE49-F238E27FC236}">
              <a16:creationId xmlns:a16="http://schemas.microsoft.com/office/drawing/2014/main" id="{0530ACD7-6DEB-43C5-BDED-0F67C0144471}"/>
            </a:ext>
          </a:extLst>
        </xdr:cNvPr>
        <xdr:cNvSpPr txBox="1"/>
      </xdr:nvSpPr>
      <xdr:spPr>
        <a:xfrm>
          <a:off x="20132264" y="14870766"/>
          <a:ext cx="4975187" cy="301124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1" u="none" strike="noStrike" baseline="0">
              <a:solidFill>
                <a:schemeClr val="dk1"/>
              </a:solidFill>
              <a:latin typeface="+mn-lt"/>
              <a:ea typeface="+mn-ea"/>
              <a:cs typeface="+mn-cs"/>
            </a:rPr>
            <a:t>Ownership of bicycles and/or access to cars</a:t>
          </a:r>
        </a:p>
        <a:p>
          <a:r>
            <a:rPr lang="en-ZA" sz="1100" b="0" i="0" u="none" strike="noStrike" baseline="0">
              <a:solidFill>
                <a:schemeClr val="dk1"/>
              </a:solidFill>
              <a:latin typeface="+mn-lt"/>
              <a:ea typeface="+mn-ea"/>
              <a:cs typeface="+mn-cs"/>
            </a:rPr>
            <a:t>Close to a million households owned between one and three bicycles, and about 44 000 owned more than three</a:t>
          </a:r>
        </a:p>
        <a:p>
          <a:r>
            <a:rPr lang="en-ZA" sz="1100" b="0" i="0" u="none" strike="noStrike" baseline="0">
              <a:solidFill>
                <a:schemeClr val="dk1"/>
              </a:solidFill>
              <a:latin typeface="+mn-lt"/>
              <a:ea typeface="+mn-ea"/>
              <a:cs typeface="+mn-cs"/>
            </a:rPr>
            <a:t>bicycles. There has been a significant increase from 2003 to 2013 in the percentage of households who owned or</a:t>
          </a:r>
        </a:p>
        <a:p>
          <a:r>
            <a:rPr lang="en-ZA" sz="1100" b="0" i="0" u="none" strike="noStrike" baseline="0">
              <a:solidFill>
                <a:schemeClr val="dk1"/>
              </a:solidFill>
              <a:latin typeface="+mn-lt"/>
              <a:ea typeface="+mn-ea"/>
              <a:cs typeface="+mn-cs"/>
            </a:rPr>
            <a:t>had access to cars (from 22,9% to 28,5%).Household ownership or access to motorcycles, kombis and other</a:t>
          </a:r>
        </a:p>
        <a:p>
          <a:r>
            <a:rPr lang="en-ZA" sz="1100" b="0" i="0" u="none" strike="noStrike" baseline="0">
              <a:solidFill>
                <a:schemeClr val="dk1"/>
              </a:solidFill>
              <a:latin typeface="+mn-lt"/>
              <a:ea typeface="+mn-ea"/>
              <a:cs typeface="+mn-cs"/>
            </a:rPr>
            <a:t>transport modes remained relatively unchanged during this period, whilst ownership/access to company cars had</a:t>
          </a:r>
        </a:p>
        <a:p>
          <a:r>
            <a:rPr lang="en-ZA" sz="1100" b="0" i="0" u="none" strike="noStrike" baseline="0">
              <a:solidFill>
                <a:schemeClr val="dk1"/>
              </a:solidFill>
              <a:latin typeface="+mn-lt"/>
              <a:ea typeface="+mn-ea"/>
              <a:cs typeface="+mn-cs"/>
            </a:rPr>
            <a:t>decreased.</a:t>
          </a:r>
        </a:p>
        <a:p>
          <a:endParaRPr lang="en-ZA" sz="1100" b="0" i="0" u="none" strike="noStrike" baseline="0">
            <a:solidFill>
              <a:schemeClr val="dk1"/>
            </a:solidFill>
            <a:latin typeface="+mn-lt"/>
            <a:ea typeface="+mn-ea"/>
            <a:cs typeface="+mn-cs"/>
          </a:endParaRPr>
        </a:p>
        <a:p>
          <a:r>
            <a:rPr lang="en-ZA" sz="1100" b="0" i="0" u="none" strike="noStrike" baseline="0">
              <a:solidFill>
                <a:schemeClr val="dk1"/>
              </a:solidFill>
              <a:latin typeface="+mn-lt"/>
              <a:ea typeface="+mn-ea"/>
              <a:cs typeface="+mn-cs"/>
            </a:rPr>
            <a:t> NHTS 2013</a:t>
          </a:r>
          <a:endParaRPr lang="en-ZA" sz="1100"/>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58</xdr:col>
      <xdr:colOff>247650</xdr:colOff>
      <xdr:row>0</xdr:row>
      <xdr:rowOff>85725</xdr:rowOff>
    </xdr:from>
    <xdr:ext cx="5816413" cy="5941919"/>
    <xdr:pic>
      <xdr:nvPicPr>
        <xdr:cNvPr id="2" name="Picture 1">
          <a:extLst>
            <a:ext uri="{FF2B5EF4-FFF2-40B4-BE49-F238E27FC236}">
              <a16:creationId xmlns:a16="http://schemas.microsoft.com/office/drawing/2014/main" id="{AFF47B20-0E4F-4ABE-BC53-3446DCC827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645265" y="87630"/>
          <a:ext cx="5816413" cy="594191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68</xdr:col>
      <xdr:colOff>515470</xdr:colOff>
      <xdr:row>0</xdr:row>
      <xdr:rowOff>145677</xdr:rowOff>
    </xdr:from>
    <xdr:ext cx="2096061" cy="6812616"/>
    <xdr:pic>
      <xdr:nvPicPr>
        <xdr:cNvPr id="3" name="Picture 2">
          <a:extLst>
            <a:ext uri="{FF2B5EF4-FFF2-40B4-BE49-F238E27FC236}">
              <a16:creationId xmlns:a16="http://schemas.microsoft.com/office/drawing/2014/main" id="{09F06F0D-8D53-4423-8FB3-6214804C050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628210" y="143772"/>
          <a:ext cx="2096061" cy="6812616"/>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68</xdr:col>
      <xdr:colOff>583827</xdr:colOff>
      <xdr:row>129</xdr:row>
      <xdr:rowOff>114298</xdr:rowOff>
    </xdr:from>
    <xdr:to>
      <xdr:col>73</xdr:col>
      <xdr:colOff>336178</xdr:colOff>
      <xdr:row>140</xdr:row>
      <xdr:rowOff>128866</xdr:rowOff>
    </xdr:to>
    <xdr:sp macro="" textlink="">
      <xdr:nvSpPr>
        <xdr:cNvPr id="4" name="TextBox 3">
          <a:extLst>
            <a:ext uri="{FF2B5EF4-FFF2-40B4-BE49-F238E27FC236}">
              <a16:creationId xmlns:a16="http://schemas.microsoft.com/office/drawing/2014/main" id="{D2C4DB8D-4BCB-4987-B12A-5A15D06D5C3F}"/>
            </a:ext>
          </a:extLst>
        </xdr:cNvPr>
        <xdr:cNvSpPr txBox="1"/>
      </xdr:nvSpPr>
      <xdr:spPr>
        <a:xfrm>
          <a:off x="18704187" y="6962773"/>
          <a:ext cx="2794636" cy="194242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baseline="0">
              <a:solidFill>
                <a:schemeClr val="dk1"/>
              </a:solidFill>
              <a:latin typeface="+mn-lt"/>
              <a:ea typeface="+mn-ea"/>
              <a:cs typeface="+mn-cs"/>
            </a:rPr>
            <a:t>Since 2012 (baseline year indicating when energy efficiency measures were instituted) total electricity consumption has decreased by 7% from 3 798 908KWh to 3 513 511 KWh in  2015. Significant energy efficiency gains were achieved in 2015 through regenerative braking in new locomotives.</a:t>
          </a:r>
          <a:endParaRPr lang="en-ZA" sz="1100"/>
        </a:p>
      </xdr:txBody>
    </xdr:sp>
    <xdr:clientData/>
  </xdr:twoCellAnchor>
  <xdr:twoCellAnchor>
    <xdr:from>
      <xdr:col>59</xdr:col>
      <xdr:colOff>201705</xdr:colOff>
      <xdr:row>148</xdr:row>
      <xdr:rowOff>11206</xdr:rowOff>
    </xdr:from>
    <xdr:to>
      <xdr:col>64</xdr:col>
      <xdr:colOff>493059</xdr:colOff>
      <xdr:row>158</xdr:row>
      <xdr:rowOff>22412</xdr:rowOff>
    </xdr:to>
    <xdr:sp macro="" textlink="">
      <xdr:nvSpPr>
        <xdr:cNvPr id="5" name="TextBox 4">
          <a:extLst>
            <a:ext uri="{FF2B5EF4-FFF2-40B4-BE49-F238E27FC236}">
              <a16:creationId xmlns:a16="http://schemas.microsoft.com/office/drawing/2014/main" id="{683AC188-D2F5-4411-8943-011A7A9903FD}"/>
            </a:ext>
          </a:extLst>
        </xdr:cNvPr>
        <xdr:cNvSpPr txBox="1"/>
      </xdr:nvSpPr>
      <xdr:spPr>
        <a:xfrm>
          <a:off x="12214635" y="10157236"/>
          <a:ext cx="3861324" cy="171999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baseline="0">
              <a:solidFill>
                <a:schemeClr val="dk1"/>
              </a:solidFill>
              <a:latin typeface="+mn-lt"/>
              <a:ea typeface="+mn-ea"/>
              <a:cs typeface="+mn-cs"/>
            </a:rPr>
            <a:t>Freight Rail’s new class 19E, 15E, 20E and 21E electric</a:t>
          </a:r>
        </a:p>
        <a:p>
          <a:r>
            <a:rPr lang="en-ZA" sz="1100" b="0" i="0" u="none" strike="noStrike" baseline="0">
              <a:solidFill>
                <a:schemeClr val="dk1"/>
              </a:solidFill>
              <a:latin typeface="+mn-lt"/>
              <a:ea typeface="+mn-ea"/>
              <a:cs typeface="+mn-cs"/>
            </a:rPr>
            <a:t>locomotives with regenerative capabilities have contributed</a:t>
          </a:r>
        </a:p>
        <a:p>
          <a:r>
            <a:rPr lang="en-ZA" sz="1100" b="0" i="0" u="none" strike="noStrike" baseline="0">
              <a:solidFill>
                <a:schemeClr val="dk1"/>
              </a:solidFill>
              <a:latin typeface="+mn-lt"/>
              <a:ea typeface="+mn-ea"/>
              <a:cs typeface="+mn-cs"/>
            </a:rPr>
            <a:t>to reducing electricity consumption. The regenerated</a:t>
          </a:r>
        </a:p>
        <a:p>
          <a:r>
            <a:rPr lang="en-ZA" sz="1100" b="0" i="0" u="none" strike="noStrike" baseline="0">
              <a:solidFill>
                <a:schemeClr val="dk1"/>
              </a:solidFill>
              <a:latin typeface="+mn-lt"/>
              <a:ea typeface="+mn-ea"/>
              <a:cs typeface="+mn-cs"/>
            </a:rPr>
            <a:t>electricity is partly used in our own network and excess</a:t>
          </a:r>
        </a:p>
        <a:p>
          <a:r>
            <a:rPr lang="en-ZA" sz="1100" b="0" i="0" u="none" strike="noStrike" baseline="0">
              <a:solidFill>
                <a:schemeClr val="dk1"/>
              </a:solidFill>
              <a:latin typeface="+mn-lt"/>
              <a:ea typeface="+mn-ea"/>
              <a:cs typeface="+mn-cs"/>
            </a:rPr>
            <a:t>electricity is transmitted back into the Eskom grid. A total of</a:t>
          </a:r>
        </a:p>
        <a:p>
          <a:r>
            <a:rPr lang="en-ZA" sz="1100" b="0" i="0" u="none" strike="noStrike" baseline="0">
              <a:solidFill>
                <a:schemeClr val="dk1"/>
              </a:solidFill>
              <a:latin typeface="+mn-lt"/>
              <a:ea typeface="+mn-ea"/>
              <a:cs typeface="+mn-cs"/>
            </a:rPr>
            <a:t>242 788 MWh of electricity was regenerated by these</a:t>
          </a:r>
        </a:p>
        <a:p>
          <a:r>
            <a:rPr lang="en-ZA" sz="1100" b="0" i="0" u="none" strike="noStrike" baseline="0">
              <a:solidFill>
                <a:schemeClr val="dk1"/>
              </a:solidFill>
              <a:latin typeface="+mn-lt"/>
              <a:ea typeface="+mn-ea"/>
              <a:cs typeface="+mn-cs"/>
            </a:rPr>
            <a:t>locomotives in 2017.</a:t>
          </a:r>
          <a:endParaRPr lang="en-ZA" sz="1100"/>
        </a:p>
      </xdr:txBody>
    </xdr:sp>
    <xdr:clientData/>
  </xdr:twoCellAnchor>
</xdr:wsDr>
</file>

<file path=xl/drawings/drawing4.xml><?xml version="1.0" encoding="utf-8"?>
<xdr:wsDr xmlns:xdr="http://schemas.openxmlformats.org/drawingml/2006/spreadsheetDrawing" xmlns:a="http://schemas.openxmlformats.org/drawingml/2006/main">
  <xdr:oneCellAnchor>
    <xdr:from>
      <xdr:col>20</xdr:col>
      <xdr:colOff>149679</xdr:colOff>
      <xdr:row>0</xdr:row>
      <xdr:rowOff>0</xdr:rowOff>
    </xdr:from>
    <xdr:ext cx="6136822" cy="1864179"/>
    <xdr:pic>
      <xdr:nvPicPr>
        <xdr:cNvPr id="2" name="Picture 1">
          <a:extLst>
            <a:ext uri="{FF2B5EF4-FFF2-40B4-BE49-F238E27FC236}">
              <a16:creationId xmlns:a16="http://schemas.microsoft.com/office/drawing/2014/main" id="{B7825AD0-286D-418A-BF65-1CFEF604596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418254" y="0"/>
          <a:ext cx="6136822" cy="186417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130710</xdr:colOff>
      <xdr:row>0</xdr:row>
      <xdr:rowOff>0</xdr:rowOff>
    </xdr:from>
    <xdr:ext cx="4971969" cy="2165743"/>
    <xdr:pic>
      <xdr:nvPicPr>
        <xdr:cNvPr id="3" name="Picture 2">
          <a:extLst>
            <a:ext uri="{FF2B5EF4-FFF2-40B4-BE49-F238E27FC236}">
              <a16:creationId xmlns:a16="http://schemas.microsoft.com/office/drawing/2014/main" id="{1802C51F-04FA-4AD4-8ACC-6D27BD575F4C}"/>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745245" y="0"/>
          <a:ext cx="4971969" cy="216574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31</xdr:col>
      <xdr:colOff>285750</xdr:colOff>
      <xdr:row>0</xdr:row>
      <xdr:rowOff>0</xdr:rowOff>
    </xdr:from>
    <xdr:to>
      <xdr:col>38</xdr:col>
      <xdr:colOff>204108</xdr:colOff>
      <xdr:row>7</xdr:row>
      <xdr:rowOff>108857</xdr:rowOff>
    </xdr:to>
    <xdr:sp macro="" textlink="">
      <xdr:nvSpPr>
        <xdr:cNvPr id="4" name="TextBox 3">
          <a:extLst>
            <a:ext uri="{FF2B5EF4-FFF2-40B4-BE49-F238E27FC236}">
              <a16:creationId xmlns:a16="http://schemas.microsoft.com/office/drawing/2014/main" id="{1E8775A2-DFB3-4FCC-9FAE-2302399BEA45}"/>
            </a:ext>
          </a:extLst>
        </xdr:cNvPr>
        <xdr:cNvSpPr txBox="1"/>
      </xdr:nvSpPr>
      <xdr:spPr>
        <a:xfrm>
          <a:off x="22941915" y="0"/>
          <a:ext cx="5517153" cy="154522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b="0" i="0">
              <a:solidFill>
                <a:schemeClr val="dk1"/>
              </a:solidFill>
              <a:effectLst/>
              <a:latin typeface="+mn-lt"/>
              <a:ea typeface="+mn-ea"/>
              <a:cs typeface="+mn-cs"/>
            </a:rPr>
            <a:t>This commentary reflects the state of the South African commercial vehicle market for vehicles with gross vehicle mass (GVM) ratings above 3 500 kg, as reported to the National Association of Automobile Manufacturers of South Africa (Naamsa). In line with the current reporting regime of that organisation, the market has been divided into the following segments:</a:t>
          </a:r>
        </a:p>
        <a:p>
          <a:r>
            <a:rPr lang="en-GB" sz="1600" b="1" i="0">
              <a:solidFill>
                <a:schemeClr val="dk1"/>
              </a:solidFill>
              <a:effectLst/>
              <a:latin typeface="+mn-lt"/>
              <a:ea typeface="+mn-ea"/>
              <a:cs typeface="+mn-cs"/>
            </a:rPr>
            <a:t>LCV - light commercial vehicles &lt; 3 500</a:t>
          </a:r>
          <a:r>
            <a:rPr lang="en-GB" sz="1600" b="1" i="0" baseline="0">
              <a:solidFill>
                <a:schemeClr val="dk1"/>
              </a:solidFill>
              <a:effectLst/>
              <a:latin typeface="+mn-lt"/>
              <a:ea typeface="+mn-ea"/>
              <a:cs typeface="+mn-cs"/>
            </a:rPr>
            <a:t> kg GVM</a:t>
          </a:r>
          <a:endParaRPr lang="en-GB" sz="1600" b="1" i="0">
            <a:solidFill>
              <a:schemeClr val="dk1"/>
            </a:solidFill>
            <a:effectLst/>
            <a:latin typeface="+mn-lt"/>
            <a:ea typeface="+mn-ea"/>
            <a:cs typeface="+mn-cs"/>
          </a:endParaRPr>
        </a:p>
        <a:p>
          <a:r>
            <a:rPr lang="en-GB" sz="1600" b="1" i="0">
              <a:solidFill>
                <a:schemeClr val="dk1"/>
              </a:solidFill>
              <a:effectLst/>
              <a:latin typeface="+mn-lt"/>
              <a:ea typeface="+mn-ea"/>
              <a:cs typeface="+mn-cs"/>
            </a:rPr>
            <a:t>MCV – medium commercial vehicles, 3 501 to 8 500 kg GVM</a:t>
          </a:r>
        </a:p>
        <a:p>
          <a:r>
            <a:rPr lang="en-GB" sz="1600" b="1" i="0">
              <a:solidFill>
                <a:schemeClr val="dk1"/>
              </a:solidFill>
              <a:effectLst/>
              <a:latin typeface="+mn-lt"/>
              <a:ea typeface="+mn-ea"/>
              <a:cs typeface="+mn-cs"/>
            </a:rPr>
            <a:t>HCV – heavy commercial vehicles, 8 501 to 16 500 kg GVM</a:t>
          </a:r>
        </a:p>
        <a:p>
          <a:r>
            <a:rPr lang="en-GB" sz="1600" b="1" i="0">
              <a:solidFill>
                <a:schemeClr val="dk1"/>
              </a:solidFill>
              <a:effectLst/>
              <a:latin typeface="+mn-lt"/>
              <a:ea typeface="+mn-ea"/>
              <a:cs typeface="+mn-cs"/>
            </a:rPr>
            <a:t>EHCV – extra-heavy commercial vehicles, 16 501 kg GVM and above.</a:t>
          </a:r>
        </a:p>
        <a:p>
          <a:r>
            <a:rPr lang="en-GB" sz="1600" b="1" i="0">
              <a:solidFill>
                <a:schemeClr val="dk1"/>
              </a:solidFill>
              <a:effectLst/>
              <a:latin typeface="+mn-lt"/>
              <a:ea typeface="+mn-ea"/>
              <a:cs typeface="+mn-cs"/>
            </a:rPr>
            <a:t>Buses – passenger vehicles, 8 501 kg GVM and above.</a:t>
          </a:r>
        </a:p>
        <a:p>
          <a:r>
            <a:rPr lang="en-GB" sz="1600">
              <a:hlinkClick xmlns:r="http://schemas.openxmlformats.org/officeDocument/2006/relationships" r:id=""/>
            </a:rPr>
            <a:t>http://www.archive.focusontransport.co.za/index.php/regulars/market-review/2232-ehcvs-and-buses-to-the-rescue-in-2014.html</a:t>
          </a:r>
          <a:endParaRPr lang="en-GB" sz="1600"/>
        </a:p>
      </xdr:txBody>
    </xdr:sp>
    <xdr:clientData/>
  </xdr:twoCellAnchor>
  <xdr:twoCellAnchor>
    <xdr:from>
      <xdr:col>45</xdr:col>
      <xdr:colOff>68036</xdr:colOff>
      <xdr:row>0</xdr:row>
      <xdr:rowOff>0</xdr:rowOff>
    </xdr:from>
    <xdr:to>
      <xdr:col>49</xdr:col>
      <xdr:colOff>646338</xdr:colOff>
      <xdr:row>10</xdr:row>
      <xdr:rowOff>171451</xdr:rowOff>
    </xdr:to>
    <xdr:graphicFrame macro="">
      <xdr:nvGraphicFramePr>
        <xdr:cNvPr id="5" name="Chart 4">
          <a:extLst>
            <a:ext uri="{FF2B5EF4-FFF2-40B4-BE49-F238E27FC236}">
              <a16:creationId xmlns:a16="http://schemas.microsoft.com/office/drawing/2014/main" id="{6E02B7AA-90DF-4871-A6CC-EA550188F2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14</xdr:col>
      <xdr:colOff>466725</xdr:colOff>
      <xdr:row>15</xdr:row>
      <xdr:rowOff>85725</xdr:rowOff>
    </xdr:from>
    <xdr:to>
      <xdr:col>21</xdr:col>
      <xdr:colOff>552451</xdr:colOff>
      <xdr:row>28</xdr:row>
      <xdr:rowOff>133350</xdr:rowOff>
    </xdr:to>
    <xdr:graphicFrame macro="">
      <xdr:nvGraphicFramePr>
        <xdr:cNvPr id="2" name="Chart 1">
          <a:extLst>
            <a:ext uri="{FF2B5EF4-FFF2-40B4-BE49-F238E27FC236}">
              <a16:creationId xmlns:a16="http://schemas.microsoft.com/office/drawing/2014/main" id="{AFDC38A9-BFB5-40B8-8FAC-CE63FBC2DB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14</xdr:col>
      <xdr:colOff>123825</xdr:colOff>
      <xdr:row>30</xdr:row>
      <xdr:rowOff>76200</xdr:rowOff>
    </xdr:from>
    <xdr:ext cx="5391150" cy="3248025"/>
    <xdr:pic>
      <xdr:nvPicPr>
        <xdr:cNvPr id="3" name="Picture 2">
          <a:extLst>
            <a:ext uri="{FF2B5EF4-FFF2-40B4-BE49-F238E27FC236}">
              <a16:creationId xmlns:a16="http://schemas.microsoft.com/office/drawing/2014/main" id="{5CC006B2-51D0-4D0A-A388-295E0D03216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384030" y="5505450"/>
          <a:ext cx="5391150" cy="3248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23</xdr:col>
      <xdr:colOff>381000</xdr:colOff>
      <xdr:row>24</xdr:row>
      <xdr:rowOff>142875</xdr:rowOff>
    </xdr:from>
    <xdr:ext cx="4963218" cy="4058216"/>
    <xdr:pic>
      <xdr:nvPicPr>
        <xdr:cNvPr id="4" name="Picture 3">
          <a:extLst>
            <a:ext uri="{FF2B5EF4-FFF2-40B4-BE49-F238E27FC236}">
              <a16:creationId xmlns:a16="http://schemas.microsoft.com/office/drawing/2014/main" id="{0F98678C-9EA6-467A-AD80-5EC0F459E630}"/>
            </a:ext>
          </a:extLst>
        </xdr:cNvPr>
        <xdr:cNvPicPr>
          <a:picLocks noChangeAspect="1"/>
        </xdr:cNvPicPr>
      </xdr:nvPicPr>
      <xdr:blipFill>
        <a:blip xmlns:r="http://schemas.openxmlformats.org/officeDocument/2006/relationships" r:embed="rId3"/>
        <a:stretch>
          <a:fillRect/>
        </a:stretch>
      </xdr:blipFill>
      <xdr:spPr>
        <a:xfrm>
          <a:off x="15125700" y="4484370"/>
          <a:ext cx="4963218" cy="4058216"/>
        </a:xfrm>
        <a:prstGeom prst="rect">
          <a:avLst/>
        </a:prstGeom>
      </xdr:spPr>
    </xdr:pic>
    <xdr:clientData/>
  </xdr:oneCellAnchor>
  <xdr:oneCellAnchor>
    <xdr:from>
      <xdr:col>12</xdr:col>
      <xdr:colOff>28343</xdr:colOff>
      <xdr:row>78</xdr:row>
      <xdr:rowOff>28575</xdr:rowOff>
    </xdr:from>
    <xdr:ext cx="7639282" cy="5225269"/>
    <xdr:pic>
      <xdr:nvPicPr>
        <xdr:cNvPr id="5" name="Picture 4">
          <a:extLst>
            <a:ext uri="{FF2B5EF4-FFF2-40B4-BE49-F238E27FC236}">
              <a16:creationId xmlns:a16="http://schemas.microsoft.com/office/drawing/2014/main" id="{BBE816C4-280F-4905-8142-17C2FB590AB7}"/>
            </a:ext>
          </a:extLst>
        </xdr:cNvPr>
        <xdr:cNvPicPr>
          <a:picLocks noChangeAspect="1"/>
        </xdr:cNvPicPr>
      </xdr:nvPicPr>
      <xdr:blipFill>
        <a:blip xmlns:r="http://schemas.openxmlformats.org/officeDocument/2006/relationships" r:embed="rId4"/>
        <a:stretch>
          <a:fillRect/>
        </a:stretch>
      </xdr:blipFill>
      <xdr:spPr>
        <a:xfrm>
          <a:off x="8065538" y="14142720"/>
          <a:ext cx="7639282" cy="5225269"/>
        </a:xfrm>
        <a:prstGeom prst="rect">
          <a:avLst/>
        </a:prstGeom>
      </xdr:spPr>
    </xdr:pic>
    <xdr:clientData/>
  </xdr:oneCellAnchor>
</xdr:wsDr>
</file>

<file path=xl/drawings/drawing6.xml><?xml version="1.0" encoding="utf-8"?>
<xdr:wsDr xmlns:xdr="http://schemas.openxmlformats.org/drawingml/2006/spreadsheetDrawing" xmlns:a="http://schemas.openxmlformats.org/drawingml/2006/main">
  <xdr:twoCellAnchor>
    <xdr:from>
      <xdr:col>13</xdr:col>
      <xdr:colOff>377189</xdr:colOff>
      <xdr:row>114</xdr:row>
      <xdr:rowOff>177878</xdr:rowOff>
    </xdr:from>
    <xdr:to>
      <xdr:col>20</xdr:col>
      <xdr:colOff>31907</xdr:colOff>
      <xdr:row>130</xdr:row>
      <xdr:rowOff>54053</xdr:rowOff>
    </xdr:to>
    <xdr:graphicFrame macro="">
      <xdr:nvGraphicFramePr>
        <xdr:cNvPr id="2" name="Chart 1">
          <a:extLst>
            <a:ext uri="{FF2B5EF4-FFF2-40B4-BE49-F238E27FC236}">
              <a16:creationId xmlns:a16="http://schemas.microsoft.com/office/drawing/2014/main" id="{D486BF77-C71C-3C9E-1895-C51AA4976A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271938</xdr:colOff>
      <xdr:row>102</xdr:row>
      <xdr:rowOff>117158</xdr:rowOff>
    </xdr:from>
    <xdr:to>
      <xdr:col>19</xdr:col>
      <xdr:colOff>646270</xdr:colOff>
      <xdr:row>118</xdr:row>
      <xdr:rowOff>2858</xdr:rowOff>
    </xdr:to>
    <xdr:graphicFrame macro="">
      <xdr:nvGraphicFramePr>
        <xdr:cNvPr id="3" name="Chart 2">
          <a:extLst>
            <a:ext uri="{FF2B5EF4-FFF2-40B4-BE49-F238E27FC236}">
              <a16:creationId xmlns:a16="http://schemas.microsoft.com/office/drawing/2014/main" id="{7089BB7F-F83D-4E1D-B9DB-FA094B27D9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66675</xdr:colOff>
      <xdr:row>26</xdr:row>
      <xdr:rowOff>169545</xdr:rowOff>
    </xdr:from>
    <xdr:to>
      <xdr:col>11</xdr:col>
      <xdr:colOff>248753</xdr:colOff>
      <xdr:row>49</xdr:row>
      <xdr:rowOff>135856</xdr:rowOff>
    </xdr:to>
    <xdr:pic>
      <xdr:nvPicPr>
        <xdr:cNvPr id="2" name="Picture 1">
          <a:extLst>
            <a:ext uri="{FF2B5EF4-FFF2-40B4-BE49-F238E27FC236}">
              <a16:creationId xmlns:a16="http://schemas.microsoft.com/office/drawing/2014/main" id="{7104DF6A-E5E1-4DE6-A9B4-4B71CC6422E3}"/>
            </a:ext>
          </a:extLst>
        </xdr:cNvPr>
        <xdr:cNvPicPr>
          <a:picLocks noChangeAspect="1"/>
        </xdr:cNvPicPr>
      </xdr:nvPicPr>
      <xdr:blipFill>
        <a:blip xmlns:r="http://schemas.openxmlformats.org/officeDocument/2006/relationships" r:embed="rId1"/>
        <a:stretch>
          <a:fillRect/>
        </a:stretch>
      </xdr:blipFill>
      <xdr:spPr>
        <a:xfrm>
          <a:off x="66675" y="4331970"/>
          <a:ext cx="8049728" cy="4136356"/>
        </a:xfrm>
        <a:prstGeom prst="rect">
          <a:avLst/>
        </a:prstGeom>
      </xdr:spPr>
    </xdr:pic>
    <xdr:clientData/>
  </xdr:twoCellAnchor>
  <xdr:twoCellAnchor>
    <xdr:from>
      <xdr:col>13</xdr:col>
      <xdr:colOff>43815</xdr:colOff>
      <xdr:row>27</xdr:row>
      <xdr:rowOff>159067</xdr:rowOff>
    </xdr:from>
    <xdr:to>
      <xdr:col>26</xdr:col>
      <xdr:colOff>447675</xdr:colOff>
      <xdr:row>45</xdr:row>
      <xdr:rowOff>54292</xdr:rowOff>
    </xdr:to>
    <xdr:graphicFrame macro="">
      <xdr:nvGraphicFramePr>
        <xdr:cNvPr id="3" name="Chart 2">
          <a:extLst>
            <a:ext uri="{FF2B5EF4-FFF2-40B4-BE49-F238E27FC236}">
              <a16:creationId xmlns:a16="http://schemas.microsoft.com/office/drawing/2014/main" id="{0591587E-4C75-4DEA-B692-B727D097E9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438150</xdr:colOff>
      <xdr:row>36</xdr:row>
      <xdr:rowOff>123825</xdr:rowOff>
    </xdr:from>
    <xdr:to>
      <xdr:col>26</xdr:col>
      <xdr:colOff>228600</xdr:colOff>
      <xdr:row>51</xdr:row>
      <xdr:rowOff>9525</xdr:rowOff>
    </xdr:to>
    <xdr:graphicFrame macro="">
      <xdr:nvGraphicFramePr>
        <xdr:cNvPr id="4" name="Chart 3">
          <a:extLst>
            <a:ext uri="{FF2B5EF4-FFF2-40B4-BE49-F238E27FC236}">
              <a16:creationId xmlns:a16="http://schemas.microsoft.com/office/drawing/2014/main" id="{BA39FA20-DAD2-45E8-B212-26FB4CCB4E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18</xdr:col>
      <xdr:colOff>623887</xdr:colOff>
      <xdr:row>44</xdr:row>
      <xdr:rowOff>147637</xdr:rowOff>
    </xdr:from>
    <xdr:to>
      <xdr:col>26</xdr:col>
      <xdr:colOff>71437</xdr:colOff>
      <xdr:row>59</xdr:row>
      <xdr:rowOff>33337</xdr:rowOff>
    </xdr:to>
    <xdr:graphicFrame macro="">
      <xdr:nvGraphicFramePr>
        <xdr:cNvPr id="4" name="Chart 3">
          <a:extLst>
            <a:ext uri="{FF2B5EF4-FFF2-40B4-BE49-F238E27FC236}">
              <a16:creationId xmlns:a16="http://schemas.microsoft.com/office/drawing/2014/main" id="{5E65C3A3-FBDC-9CD3-42F8-7ECB185657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15</xdr:col>
      <xdr:colOff>342900</xdr:colOff>
      <xdr:row>28</xdr:row>
      <xdr:rowOff>157162</xdr:rowOff>
    </xdr:from>
    <xdr:to>
      <xdr:col>22</xdr:col>
      <xdr:colOff>523875</xdr:colOff>
      <xdr:row>43</xdr:row>
      <xdr:rowOff>42862</xdr:rowOff>
    </xdr:to>
    <xdr:graphicFrame macro="">
      <xdr:nvGraphicFramePr>
        <xdr:cNvPr id="2" name="Chart 1">
          <a:extLst>
            <a:ext uri="{FF2B5EF4-FFF2-40B4-BE49-F238E27FC236}">
              <a16:creationId xmlns:a16="http://schemas.microsoft.com/office/drawing/2014/main" id="{FAA8E211-D521-451A-9EE7-CA3A1ADA44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Models\SATIMGE\SATIM\DataSpreadsheets\TCH_TRA.xlsm" TargetMode="External"/><Relationship Id="rId1" Type="http://schemas.openxmlformats.org/officeDocument/2006/relationships/externalLinkPath" Target="/Models/SATIMGE/SATIM/DataSpreadsheets/TCH_TRA.xlsm"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https://uctcloud-my.sharepoint.com/personal/01405439_wf_uct_ac_za/Documents/Energy%20Systems%20Research%20Group/Projects/Active/WWF-IEP/WIP/Modelling/Transport/VT_REGION1_TRA.xlsx" TargetMode="External"/><Relationship Id="rId1" Type="http://schemas.openxmlformats.org/officeDocument/2006/relationships/externalLinkPath" Target="https://uctcloud-my.sharepoint.com/personal/01405439_wf_uct_ac_za/Documents/Energy%20Systems%20Research%20Group/Projects/Active/WWF-IEP/WIP/Modelling/Transport/VT_REGION1_TRA.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https://uctcloud-my.sharepoint.com/personal/01405439_wf_uct_ac_za/Documents/Energy%20Systems%20Research%20Group/Projects/Active/WWF-IEP/WIP/Modelling/Transport/VT_REGION1_TRA_old.xlsx" TargetMode="External"/><Relationship Id="rId1" Type="http://schemas.openxmlformats.org/officeDocument/2006/relationships/externalLinkPath" Target="https://uctcloud-my.sharepoint.com/personal/01405439_wf_uct_ac_za/Documents/Energy%20Systems%20Research%20Group/Projects/Active/WWF-IEP/WIP/Modelling/Transport/VT_REGION1_TRA_old.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LTMS_old"/>
      <sheetName val="EB_2006"/>
      <sheetName val="EB_2012"/>
      <sheetName val="DME_EB_TS"/>
      <sheetName val="SAPIADiesel"/>
      <sheetName val="SAPIAGasoline"/>
      <sheetName val="NAAMSANational"/>
      <sheetName val="NAAMSAProvincial81"/>
      <sheetName val="NAAMSAProvincial95"/>
      <sheetName val="NAAMSAdefs"/>
      <sheetName val="SOL"/>
      <sheetName val="ScrappingModels"/>
      <sheetName val="ENATIS2020"/>
      <sheetName val="ENATIS"/>
      <sheetName val="NAAMSA_SAPIA_WG"/>
      <sheetName val="HistoricalSales"/>
      <sheetName val="Comp Assumptions"/>
      <sheetName val="FuelCell"/>
      <sheetName val="EV misc"/>
      <sheetName val="EV Charging Capex"/>
      <sheetName val="EV battery "/>
      <sheetName val="AEA2012 summary"/>
      <sheetName val="Vehicle data "/>
      <sheetName val="Vehicle data-NDC2020"/>
      <sheetName val="mileagedegrad"/>
      <sheetName val="Calib_1011"/>
      <sheetName val="Calib_1011_2"/>
      <sheetName val="REGIONS"/>
      <sheetName val="TRP"/>
      <sheetName val="ITEMS_Tech"/>
      <sheetName val="TS DTech"/>
      <sheetName val="TID DTech"/>
      <sheetName val="TRP_Retrofit"/>
      <sheetName val="ITEMS_DrTech"/>
      <sheetName val="ITEMS_UCrTech"/>
      <sheetName val="TS DrTech"/>
      <sheetName val="TS UCrTech"/>
      <sheetName val="Analytica"/>
      <sheetName val="TID DrTech"/>
      <sheetName val="TID UCrTech"/>
      <sheetName val="Scenarios"/>
      <sheetName val="NT_TRP"/>
      <sheetName val="ITEMS_nTech"/>
      <sheetName val="ITEMS_UCnTech"/>
      <sheetName val="TS DnTech"/>
      <sheetName val="TS UCnTech"/>
      <sheetName val="TID DnTech"/>
      <sheetName val="TID UCnTech"/>
      <sheetName val="TID SHAPE"/>
      <sheetName val="ITEMS_Comm"/>
      <sheetName val="TS BYDem"/>
      <sheetName val="TS COMFR"/>
      <sheetName val="TS FTech"/>
      <sheetName val="TID FTech"/>
      <sheetName val="TS Emiss"/>
      <sheetName val="TID Emiss"/>
      <sheetName val="NameConv"/>
      <sheetName val="AFA"/>
      <sheetName val="Deflator"/>
      <sheetName val="LogofChanges"/>
      <sheetName val="Units.CV"/>
    </sheetNames>
    <sheetDataSet>
      <sheetData sheetId="0"/>
      <sheetData sheetId="1">
        <row r="68">
          <cell r="AG68">
            <v>744.7462524</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ow r="3">
          <cell r="B3">
            <v>0</v>
          </cell>
        </row>
        <row r="16">
          <cell r="B16" t="b">
            <v>1</v>
          </cell>
        </row>
        <row r="18">
          <cell r="B18">
            <v>1</v>
          </cell>
        </row>
        <row r="21">
          <cell r="B21">
            <v>1</v>
          </cell>
        </row>
        <row r="24">
          <cell r="B24">
            <v>0</v>
          </cell>
        </row>
        <row r="28">
          <cell r="B28" t="b">
            <v>0</v>
          </cell>
        </row>
      </sheetData>
      <sheetData sheetId="41">
        <row r="2">
          <cell r="A2">
            <v>2012</v>
          </cell>
        </row>
      </sheetData>
      <sheetData sheetId="42"/>
      <sheetData sheetId="43"/>
      <sheetData sheetId="44"/>
      <sheetData sheetId="45"/>
      <sheetData sheetId="46"/>
      <sheetData sheetId="47"/>
      <sheetData sheetId="48"/>
      <sheetData sheetId="49"/>
      <sheetData sheetId="50">
        <row r="33">
          <cell r="J33">
            <v>0.820564128</v>
          </cell>
        </row>
      </sheetData>
      <sheetData sheetId="51"/>
      <sheetData sheetId="52"/>
      <sheetData sheetId="53"/>
      <sheetData sheetId="54"/>
      <sheetData sheetId="55"/>
      <sheetData sheetId="56">
        <row r="1">
          <cell r="F1">
            <v>1E-8</v>
          </cell>
        </row>
      </sheetData>
      <sheetData sheetId="57"/>
      <sheetData sheetId="58"/>
      <sheetData sheetId="59"/>
      <sheetData sheetId="60">
        <row r="9">
          <cell r="B9">
            <v>36.607594936708864</v>
          </cell>
          <cell r="C9">
            <v>38.1</v>
          </cell>
        </row>
        <row r="13">
          <cell r="C13">
            <v>34.200000000000003</v>
          </cell>
        </row>
        <row r="46">
          <cell r="F46">
            <v>36.607594936708864</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RP"/>
      <sheetName val="ITEMS_Tech"/>
      <sheetName val="NT_TRP"/>
      <sheetName val="ITEMS_nTech"/>
      <sheetName val="Demand"/>
      <sheetName val="Calib_2017"/>
      <sheetName val="EB_2017"/>
      <sheetName val="SOL"/>
      <sheetName val="Analytica"/>
      <sheetName val="Vehicle eff data 2023"/>
      <sheetName val="CostProjections"/>
      <sheetName val="IEACostData_passengervehs"/>
      <sheetName val="IEAWEO2023 cost data"/>
      <sheetName val="NREL_HCVs"/>
      <sheetName val="NREL_LCVs"/>
      <sheetName val="AEA2012"/>
      <sheetName val="Vehicle data "/>
      <sheetName val="AEA2012 summary"/>
      <sheetName val="FuelCell"/>
      <sheetName val="Vehicle data-NDC2020"/>
      <sheetName val="old_guy_stuff"/>
      <sheetName val="Calib_old"/>
    </sheetNames>
    <sheetDataSet>
      <sheetData sheetId="0"/>
      <sheetData sheetId="1"/>
      <sheetData sheetId="2"/>
      <sheetData sheetId="3"/>
      <sheetData sheetId="4"/>
      <sheetData sheetId="5"/>
      <sheetData sheetId="6">
        <row r="82">
          <cell r="BD82">
            <v>2256.2732159999996</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RP"/>
      <sheetName val="ITEMS_Tech"/>
      <sheetName val="NT_TRP"/>
      <sheetName val="ITEMS_nTech"/>
      <sheetName val="Demand"/>
      <sheetName val="Calib_2017"/>
      <sheetName val="EB_2017"/>
      <sheetName val="SOL"/>
      <sheetName val="Analytica"/>
      <sheetName val="Vehicle eff data 2023"/>
      <sheetName val="CostProjections"/>
      <sheetName val="IEACostData_passengervehs"/>
      <sheetName val="IEAWEO2023 cost data"/>
      <sheetName val="NREL_HCVs"/>
      <sheetName val="AEA2012"/>
      <sheetName val="Vehicle data "/>
      <sheetName val="AEA2012 summary"/>
      <sheetName val="FuelCell"/>
      <sheetName val="Vehicle data-NDC2020"/>
      <sheetName val="old_guy_stuff"/>
      <sheetName val="Calib_ol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ow r="8">
          <cell r="A8" t="str">
            <v>Passenger Car</v>
          </cell>
          <cell r="B8" t="str">
            <v>Petrol HEV</v>
          </cell>
        </row>
        <row r="14">
          <cell r="A14" t="str">
            <v>Passenger Car</v>
          </cell>
          <cell r="B14" t="str">
            <v>BEV</v>
          </cell>
        </row>
      </sheetData>
      <sheetData sheetId="17"/>
      <sheetData sheetId="18"/>
      <sheetData sheetId="19"/>
      <sheetData sheetId="20"/>
    </sheetDataSet>
  </externalBook>
</externalLink>
</file>

<file path=xl/persons/person.xml><?xml version="1.0" encoding="utf-8"?>
<personList xmlns="http://schemas.microsoft.com/office/spreadsheetml/2018/threadedcomments" xmlns:x="http://schemas.openxmlformats.org/spreadsheetml/2006/main">
  <person displayName="Bruno Merven" id="{CD00CC2D-7DAE-4D14-9E9B-8CA64DAB4BA2}" userId="Bruno Merven" providerId="None"/>
  <person displayName="Bruno Merven" id="{854C39A6-04FA-466B-A339-E949B3953BD4}" userId="S::01405439@wf.uct.ac.za::c7f06137-2c3b-4c5c-8f38-fe1abbc96860" providerId="AD"/>
  <person displayName="Guy Cunliffe" id="{4C2C9D78-318C-499B-A9D8-66B7B988C5FA}" userId="S::T0071346@wf.uct.ac.za::35f3db3a-b67d-4fe5-83cb-798b7a170f42" providerId="AD"/>
</personList>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VT_REGION1_TRA.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microsoft.com/office/2006/relationships/xlExternalLinkPath/xlPathMissing" Target="VT_REGION1_TRA.xlsx"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uy Cunliffe" refreshedDate="45308.530175462962" createdVersion="8" refreshedVersion="8" minRefreshableVersion="3" recordCount="99" xr:uid="{D80738CB-CF36-4906-BAD0-FB85FA239F9E}">
  <cacheSource type="worksheet">
    <worksheetSource ref="A1:E100" sheet="NREL_MDHD_HCV4-6-8" r:id="rId2"/>
  </cacheSource>
  <cacheFields count="5">
    <cacheField name="Powertrain" numFmtId="0">
      <sharedItems count="4">
        <s v="Diesel"/>
        <s v="BEV"/>
        <s v="HEV"/>
        <s v="FCEV"/>
      </sharedItems>
    </cacheField>
    <cacheField name="Type" numFmtId="0">
      <sharedItems count="3">
        <s v="Class 8 Box truck"/>
        <s v="Class 6 Box truck"/>
        <s v="Class 4 Box truck"/>
      </sharedItems>
    </cacheField>
    <cacheField name="Model Year" numFmtId="0">
      <sharedItems containsSemiMixedTypes="0" containsString="0" containsNumber="1" containsInteger="1" minValue="2020" maxValue="2050" count="5">
        <n v="2020"/>
        <n v="2025"/>
        <n v="2030"/>
        <n v="2040"/>
        <n v="2050"/>
      </sharedItems>
    </cacheField>
    <cacheField name="Scenario" numFmtId="0">
      <sharedItems count="2">
        <s v="Conservative"/>
        <s v="Aggressive"/>
      </sharedItems>
    </cacheField>
    <cacheField name="MSRP 2021$" numFmtId="187">
      <sharedItems containsSemiMixedTypes="0" containsString="0" containsNumber="1" minValue="37702.062385887402" maxValue="184142.539387792"/>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uy Cunliffe" refreshedDate="45308.532421412034" createdVersion="8" refreshedVersion="8" minRefreshableVersion="3" recordCount="86" xr:uid="{6D8976AA-F25E-4A12-AF6C-960180A87502}">
  <cacheSource type="worksheet">
    <worksheetSource ref="A1:F87" sheet="NREL_LCVs" r:id="rId2"/>
  </cacheSource>
  <cacheFields count="6">
    <cacheField name="Powertrain Type" numFmtId="0">
      <sharedItems count="6">
        <s v="CNG"/>
        <s v="Conventional"/>
        <s v="BEV"/>
        <s v="FuelCell"/>
        <s v="Hybrid"/>
        <s v="PHEV"/>
      </sharedItems>
    </cacheField>
    <cacheField name="Design_Cate" numFmtId="0">
      <sharedItems count="1">
        <s v="Standard"/>
      </sharedItems>
    </cacheField>
    <cacheField name="Type" numFmtId="0">
      <sharedItems count="3">
        <s v="car"/>
        <s v="truck"/>
        <s v="SUV"/>
      </sharedItems>
    </cacheField>
    <cacheField name="Scenario" numFmtId="0">
      <sharedItems count="1">
        <s v="Conservative"/>
      </sharedItems>
    </cacheField>
    <cacheField name="Years" numFmtId="0">
      <sharedItems containsSemiMixedTypes="0" containsString="0" containsNumber="1" containsInteger="1" minValue="2020" maxValue="2050" count="7">
        <n v="2020"/>
        <n v="2025"/>
        <n v="2045"/>
        <n v="2050"/>
        <n v="2030"/>
        <n v="2035"/>
        <n v="2040"/>
      </sharedItems>
    </cacheField>
    <cacheField name="MSRP 2021$" numFmtId="187">
      <sharedItems containsSemiMixedTypes="0" containsString="0" containsNumber="1" minValue="17155.84709574973" maxValue="45179.551483243253"/>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
  <r>
    <x v="0"/>
    <x v="0"/>
    <x v="0"/>
    <x v="0"/>
    <n v="122633.16"/>
  </r>
  <r>
    <x v="0"/>
    <x v="1"/>
    <x v="0"/>
    <x v="0"/>
    <n v="77800.603999999905"/>
  </r>
  <r>
    <x v="0"/>
    <x v="1"/>
    <x v="1"/>
    <x v="0"/>
    <n v="79211.135921093199"/>
  </r>
  <r>
    <x v="0"/>
    <x v="1"/>
    <x v="1"/>
    <x v="1"/>
    <n v="79490.601319670997"/>
  </r>
  <r>
    <x v="1"/>
    <x v="1"/>
    <x v="1"/>
    <x v="0"/>
    <n v="111239.99801395601"/>
  </r>
  <r>
    <x v="1"/>
    <x v="1"/>
    <x v="1"/>
    <x v="1"/>
    <n v="106439.575779619"/>
  </r>
  <r>
    <x v="0"/>
    <x v="2"/>
    <x v="0"/>
    <x v="0"/>
    <n v="43020.603999999999"/>
  </r>
  <r>
    <x v="0"/>
    <x v="2"/>
    <x v="1"/>
    <x v="0"/>
    <n v="44383.745321968199"/>
  </r>
  <r>
    <x v="0"/>
    <x v="2"/>
    <x v="1"/>
    <x v="1"/>
    <n v="44270.562265589797"/>
  </r>
  <r>
    <x v="1"/>
    <x v="2"/>
    <x v="1"/>
    <x v="0"/>
    <n v="72232.889528891203"/>
  </r>
  <r>
    <x v="1"/>
    <x v="2"/>
    <x v="1"/>
    <x v="1"/>
    <n v="68314.314574006203"/>
  </r>
  <r>
    <x v="2"/>
    <x v="2"/>
    <x v="1"/>
    <x v="0"/>
    <n v="46143.569462838699"/>
  </r>
  <r>
    <x v="2"/>
    <x v="2"/>
    <x v="1"/>
    <x v="1"/>
    <n v="45702.990415414097"/>
  </r>
  <r>
    <x v="0"/>
    <x v="0"/>
    <x v="1"/>
    <x v="0"/>
    <n v="124758.767467543"/>
  </r>
  <r>
    <x v="0"/>
    <x v="0"/>
    <x v="1"/>
    <x v="1"/>
    <n v="125527.60867916299"/>
  </r>
  <r>
    <x v="1"/>
    <x v="0"/>
    <x v="1"/>
    <x v="0"/>
    <n v="172334.08657541801"/>
  </r>
  <r>
    <x v="1"/>
    <x v="0"/>
    <x v="1"/>
    <x v="1"/>
    <n v="164958.58272517601"/>
  </r>
  <r>
    <x v="2"/>
    <x v="0"/>
    <x v="1"/>
    <x v="0"/>
    <n v="128787.73940458101"/>
  </r>
  <r>
    <x v="2"/>
    <x v="0"/>
    <x v="1"/>
    <x v="1"/>
    <n v="129489.027655634"/>
  </r>
  <r>
    <x v="2"/>
    <x v="1"/>
    <x v="1"/>
    <x v="0"/>
    <n v="81194.807277311396"/>
  </r>
  <r>
    <x v="2"/>
    <x v="1"/>
    <x v="1"/>
    <x v="1"/>
    <n v="81790.147897985604"/>
  </r>
  <r>
    <x v="0"/>
    <x v="2"/>
    <x v="2"/>
    <x v="0"/>
    <n v="44843.888204688497"/>
  </r>
  <r>
    <x v="0"/>
    <x v="2"/>
    <x v="2"/>
    <x v="1"/>
    <n v="45504.899061943201"/>
  </r>
  <r>
    <x v="1"/>
    <x v="2"/>
    <x v="2"/>
    <x v="0"/>
    <n v="55751.407358742297"/>
  </r>
  <r>
    <x v="1"/>
    <x v="2"/>
    <x v="2"/>
    <x v="1"/>
    <n v="47174.182558743101"/>
  </r>
  <r>
    <x v="2"/>
    <x v="2"/>
    <x v="2"/>
    <x v="0"/>
    <n v="46708.631380952298"/>
  </r>
  <r>
    <x v="2"/>
    <x v="2"/>
    <x v="2"/>
    <x v="1"/>
    <n v="45688.191032342897"/>
  </r>
  <r>
    <x v="0"/>
    <x v="0"/>
    <x v="2"/>
    <x v="0"/>
    <n v="125181.823979295"/>
  </r>
  <r>
    <x v="0"/>
    <x v="0"/>
    <x v="2"/>
    <x v="1"/>
    <n v="126657.619435769"/>
  </r>
  <r>
    <x v="1"/>
    <x v="0"/>
    <x v="2"/>
    <x v="0"/>
    <n v="143582.026082586"/>
  </r>
  <r>
    <x v="1"/>
    <x v="0"/>
    <x v="2"/>
    <x v="1"/>
    <n v="129102.026621446"/>
  </r>
  <r>
    <x v="2"/>
    <x v="0"/>
    <x v="2"/>
    <x v="0"/>
    <n v="129012.713402155"/>
  </r>
  <r>
    <x v="2"/>
    <x v="0"/>
    <x v="2"/>
    <x v="1"/>
    <n v="129710.15176841601"/>
  </r>
  <r>
    <x v="0"/>
    <x v="1"/>
    <x v="2"/>
    <x v="0"/>
    <n v="79796.522191987606"/>
  </r>
  <r>
    <x v="0"/>
    <x v="1"/>
    <x v="2"/>
    <x v="1"/>
    <n v="80419.046252814296"/>
  </r>
  <r>
    <x v="1"/>
    <x v="1"/>
    <x v="2"/>
    <x v="0"/>
    <n v="91468.298502517398"/>
  </r>
  <r>
    <x v="1"/>
    <x v="1"/>
    <x v="2"/>
    <x v="1"/>
    <n v="81939.541561467398"/>
  </r>
  <r>
    <x v="2"/>
    <x v="1"/>
    <x v="2"/>
    <x v="0"/>
    <n v="82351.234013170804"/>
  </r>
  <r>
    <x v="2"/>
    <x v="1"/>
    <x v="2"/>
    <x v="1"/>
    <n v="81853.717365813398"/>
  </r>
  <r>
    <x v="0"/>
    <x v="1"/>
    <x v="3"/>
    <x v="0"/>
    <n v="80531.279866715602"/>
  </r>
  <r>
    <x v="0"/>
    <x v="1"/>
    <x v="3"/>
    <x v="1"/>
    <n v="82211.073210756993"/>
  </r>
  <r>
    <x v="1"/>
    <x v="1"/>
    <x v="3"/>
    <x v="0"/>
    <n v="82614.388557329294"/>
  </r>
  <r>
    <x v="1"/>
    <x v="1"/>
    <x v="3"/>
    <x v="1"/>
    <n v="73848.283389423901"/>
  </r>
  <r>
    <x v="2"/>
    <x v="1"/>
    <x v="3"/>
    <x v="0"/>
    <n v="84925.888451620398"/>
  </r>
  <r>
    <x v="2"/>
    <x v="1"/>
    <x v="3"/>
    <x v="1"/>
    <n v="83103.939561961393"/>
  </r>
  <r>
    <x v="0"/>
    <x v="2"/>
    <x v="3"/>
    <x v="0"/>
    <n v="45482.427759856801"/>
  </r>
  <r>
    <x v="0"/>
    <x v="2"/>
    <x v="3"/>
    <x v="1"/>
    <n v="45007.492204758099"/>
  </r>
  <r>
    <x v="1"/>
    <x v="2"/>
    <x v="3"/>
    <x v="0"/>
    <n v="47384.134484041402"/>
  </r>
  <r>
    <x v="1"/>
    <x v="2"/>
    <x v="3"/>
    <x v="1"/>
    <n v="40011.515567970302"/>
  </r>
  <r>
    <x v="2"/>
    <x v="2"/>
    <x v="3"/>
    <x v="0"/>
    <n v="46003.298768790701"/>
  </r>
  <r>
    <x v="2"/>
    <x v="2"/>
    <x v="3"/>
    <x v="1"/>
    <n v="46424.438590004502"/>
  </r>
  <r>
    <x v="0"/>
    <x v="0"/>
    <x v="3"/>
    <x v="0"/>
    <n v="126409.26072325101"/>
  </r>
  <r>
    <x v="0"/>
    <x v="0"/>
    <x v="3"/>
    <x v="1"/>
    <n v="126475.374523069"/>
  </r>
  <r>
    <x v="1"/>
    <x v="0"/>
    <x v="3"/>
    <x v="0"/>
    <n v="130519.199271814"/>
  </r>
  <r>
    <x v="1"/>
    <x v="0"/>
    <x v="3"/>
    <x v="1"/>
    <n v="117061.024414414"/>
  </r>
  <r>
    <x v="2"/>
    <x v="0"/>
    <x v="3"/>
    <x v="0"/>
    <n v="133439.88043997699"/>
  </r>
  <r>
    <x v="2"/>
    <x v="0"/>
    <x v="3"/>
    <x v="1"/>
    <n v="128640.59039606"/>
  </r>
  <r>
    <x v="0"/>
    <x v="2"/>
    <x v="4"/>
    <x v="0"/>
    <n v="45038.640855104401"/>
  </r>
  <r>
    <x v="0"/>
    <x v="2"/>
    <x v="4"/>
    <x v="1"/>
    <n v="47079.212041179802"/>
  </r>
  <r>
    <x v="1"/>
    <x v="2"/>
    <x v="4"/>
    <x v="0"/>
    <n v="44847.297467261997"/>
  </r>
  <r>
    <x v="1"/>
    <x v="2"/>
    <x v="4"/>
    <x v="1"/>
    <n v="37702.062385887402"/>
  </r>
  <r>
    <x v="2"/>
    <x v="2"/>
    <x v="4"/>
    <x v="0"/>
    <n v="47114.940102385001"/>
  </r>
  <r>
    <x v="2"/>
    <x v="2"/>
    <x v="4"/>
    <x v="1"/>
    <n v="45618.437137750698"/>
  </r>
  <r>
    <x v="0"/>
    <x v="0"/>
    <x v="4"/>
    <x v="0"/>
    <n v="128098.60233972099"/>
  </r>
  <r>
    <x v="0"/>
    <x v="0"/>
    <x v="4"/>
    <x v="1"/>
    <n v="128117.821517163"/>
  </r>
  <r>
    <x v="1"/>
    <x v="0"/>
    <x v="4"/>
    <x v="0"/>
    <n v="127308.349858645"/>
  </r>
  <r>
    <x v="1"/>
    <x v="0"/>
    <x v="4"/>
    <x v="1"/>
    <n v="113124.757243812"/>
  </r>
  <r>
    <x v="2"/>
    <x v="0"/>
    <x v="4"/>
    <x v="0"/>
    <n v="128550.24307368101"/>
  </r>
  <r>
    <x v="2"/>
    <x v="0"/>
    <x v="4"/>
    <x v="1"/>
    <n v="133522.54116052599"/>
  </r>
  <r>
    <x v="0"/>
    <x v="1"/>
    <x v="4"/>
    <x v="0"/>
    <n v="81352.868838823793"/>
  </r>
  <r>
    <x v="0"/>
    <x v="1"/>
    <x v="4"/>
    <x v="1"/>
    <n v="81185.9799675635"/>
  </r>
  <r>
    <x v="1"/>
    <x v="1"/>
    <x v="4"/>
    <x v="0"/>
    <n v="79633.5895992687"/>
  </r>
  <r>
    <x v="1"/>
    <x v="1"/>
    <x v="4"/>
    <x v="1"/>
    <n v="71319.114219120005"/>
  </r>
  <r>
    <x v="2"/>
    <x v="1"/>
    <x v="4"/>
    <x v="0"/>
    <n v="82975.583531581302"/>
  </r>
  <r>
    <x v="2"/>
    <x v="1"/>
    <x v="4"/>
    <x v="1"/>
    <n v="83331.152094527002"/>
  </r>
  <r>
    <x v="3"/>
    <x v="0"/>
    <x v="1"/>
    <x v="0"/>
    <n v="184142.539387792"/>
  </r>
  <r>
    <x v="3"/>
    <x v="0"/>
    <x v="1"/>
    <x v="1"/>
    <n v="180757.00426050101"/>
  </r>
  <r>
    <x v="3"/>
    <x v="1"/>
    <x v="1"/>
    <x v="0"/>
    <n v="108917.08759559"/>
  </r>
  <r>
    <x v="3"/>
    <x v="1"/>
    <x v="1"/>
    <x v="1"/>
    <n v="106786.253660602"/>
  </r>
  <r>
    <x v="3"/>
    <x v="2"/>
    <x v="1"/>
    <x v="0"/>
    <n v="64737.898672643802"/>
  </r>
  <r>
    <x v="3"/>
    <x v="2"/>
    <x v="1"/>
    <x v="1"/>
    <n v="63184.982991068602"/>
  </r>
  <r>
    <x v="3"/>
    <x v="0"/>
    <x v="2"/>
    <x v="0"/>
    <n v="171546.76245373301"/>
  </r>
  <r>
    <x v="3"/>
    <x v="0"/>
    <x v="2"/>
    <x v="1"/>
    <n v="148724.55465612901"/>
  </r>
  <r>
    <x v="3"/>
    <x v="1"/>
    <x v="2"/>
    <x v="0"/>
    <n v="102263.236672406"/>
  </r>
  <r>
    <x v="3"/>
    <x v="1"/>
    <x v="2"/>
    <x v="1"/>
    <n v="89190.760178212004"/>
  </r>
  <r>
    <x v="3"/>
    <x v="2"/>
    <x v="2"/>
    <x v="0"/>
    <n v="59640.0801817998"/>
  </r>
  <r>
    <x v="3"/>
    <x v="2"/>
    <x v="2"/>
    <x v="1"/>
    <n v="50029.221013609596"/>
  </r>
  <r>
    <x v="3"/>
    <x v="1"/>
    <x v="3"/>
    <x v="0"/>
    <n v="91881.970035619801"/>
  </r>
  <r>
    <x v="3"/>
    <x v="1"/>
    <x v="3"/>
    <x v="1"/>
    <n v="83096.144616772493"/>
  </r>
  <r>
    <x v="3"/>
    <x v="2"/>
    <x v="3"/>
    <x v="0"/>
    <n v="51583.510230305903"/>
  </r>
  <r>
    <x v="3"/>
    <x v="2"/>
    <x v="3"/>
    <x v="1"/>
    <n v="45240.414065169898"/>
  </r>
  <r>
    <x v="3"/>
    <x v="0"/>
    <x v="3"/>
    <x v="0"/>
    <n v="153933.62904962699"/>
  </r>
  <r>
    <x v="3"/>
    <x v="0"/>
    <x v="3"/>
    <x v="1"/>
    <n v="137568.295663692"/>
  </r>
  <r>
    <x v="3"/>
    <x v="2"/>
    <x v="4"/>
    <x v="0"/>
    <n v="49792.084496843498"/>
  </r>
  <r>
    <x v="3"/>
    <x v="2"/>
    <x v="4"/>
    <x v="1"/>
    <n v="41690.739838148103"/>
  </r>
  <r>
    <x v="3"/>
    <x v="0"/>
    <x v="4"/>
    <x v="0"/>
    <n v="150623.84071644401"/>
  </r>
  <r>
    <x v="3"/>
    <x v="0"/>
    <x v="4"/>
    <x v="1"/>
    <n v="129616.08841927099"/>
  </r>
  <r>
    <x v="3"/>
    <x v="1"/>
    <x v="4"/>
    <x v="0"/>
    <n v="90380.630136863998"/>
  </r>
  <r>
    <x v="3"/>
    <x v="1"/>
    <x v="4"/>
    <x v="1"/>
    <n v="78766.27656903929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6">
  <r>
    <x v="0"/>
    <x v="0"/>
    <x v="0"/>
    <x v="0"/>
    <x v="0"/>
    <n v="27438"/>
  </r>
  <r>
    <x v="0"/>
    <x v="0"/>
    <x v="0"/>
    <x v="0"/>
    <x v="1"/>
    <n v="27484"/>
  </r>
  <r>
    <x v="0"/>
    <x v="0"/>
    <x v="1"/>
    <x v="0"/>
    <x v="2"/>
    <n v="39017"/>
  </r>
  <r>
    <x v="0"/>
    <x v="0"/>
    <x v="1"/>
    <x v="0"/>
    <x v="3"/>
    <n v="38944"/>
  </r>
  <r>
    <x v="1"/>
    <x v="0"/>
    <x v="0"/>
    <x v="0"/>
    <x v="0"/>
    <n v="20947.725746915581"/>
  </r>
  <r>
    <x v="1"/>
    <x v="0"/>
    <x v="0"/>
    <x v="0"/>
    <x v="1"/>
    <n v="19876.189295586439"/>
  </r>
  <r>
    <x v="1"/>
    <x v="0"/>
    <x v="0"/>
    <x v="0"/>
    <x v="4"/>
    <n v="20100.192605632921"/>
  </r>
  <r>
    <x v="1"/>
    <x v="0"/>
    <x v="0"/>
    <x v="0"/>
    <x v="5"/>
    <n v="19681.585083062921"/>
  </r>
  <r>
    <x v="1"/>
    <x v="0"/>
    <x v="0"/>
    <x v="0"/>
    <x v="6"/>
    <n v="18517.72515340809"/>
  </r>
  <r>
    <x v="1"/>
    <x v="0"/>
    <x v="0"/>
    <x v="0"/>
    <x v="2"/>
    <n v="17679.0308170319"/>
  </r>
  <r>
    <x v="1"/>
    <x v="0"/>
    <x v="0"/>
    <x v="0"/>
    <x v="3"/>
    <n v="17155.84709574973"/>
  </r>
  <r>
    <x v="1"/>
    <x v="0"/>
    <x v="2"/>
    <x v="0"/>
    <x v="0"/>
    <n v="30054.131374924909"/>
  </r>
  <r>
    <x v="1"/>
    <x v="0"/>
    <x v="2"/>
    <x v="0"/>
    <x v="1"/>
    <n v="31006.578625478189"/>
  </r>
  <r>
    <x v="1"/>
    <x v="0"/>
    <x v="2"/>
    <x v="0"/>
    <x v="4"/>
    <n v="31652.877098076809"/>
  </r>
  <r>
    <x v="1"/>
    <x v="0"/>
    <x v="2"/>
    <x v="0"/>
    <x v="5"/>
    <n v="31573.772243819691"/>
  </r>
  <r>
    <x v="1"/>
    <x v="0"/>
    <x v="2"/>
    <x v="0"/>
    <x v="6"/>
    <n v="31630.88593324774"/>
  </r>
  <r>
    <x v="1"/>
    <x v="0"/>
    <x v="2"/>
    <x v="0"/>
    <x v="2"/>
    <n v="31799.19058868504"/>
  </r>
  <r>
    <x v="1"/>
    <x v="0"/>
    <x v="2"/>
    <x v="0"/>
    <x v="3"/>
    <n v="31655.462469864899"/>
  </r>
  <r>
    <x v="1"/>
    <x v="0"/>
    <x v="1"/>
    <x v="0"/>
    <x v="0"/>
    <n v="30882.519974980161"/>
  </r>
  <r>
    <x v="1"/>
    <x v="0"/>
    <x v="1"/>
    <x v="0"/>
    <x v="1"/>
    <n v="31126.34670531705"/>
  </r>
  <r>
    <x v="1"/>
    <x v="0"/>
    <x v="1"/>
    <x v="0"/>
    <x v="4"/>
    <n v="31424.915493633849"/>
  </r>
  <r>
    <x v="1"/>
    <x v="0"/>
    <x v="1"/>
    <x v="0"/>
    <x v="5"/>
    <n v="31628.26093048913"/>
  </r>
  <r>
    <x v="1"/>
    <x v="0"/>
    <x v="1"/>
    <x v="0"/>
    <x v="6"/>
    <n v="32429.515359170218"/>
  </r>
  <r>
    <x v="1"/>
    <x v="0"/>
    <x v="1"/>
    <x v="0"/>
    <x v="2"/>
    <n v="31556.633745863641"/>
  </r>
  <r>
    <x v="1"/>
    <x v="0"/>
    <x v="1"/>
    <x v="0"/>
    <x v="3"/>
    <n v="31556.47013599642"/>
  </r>
  <r>
    <x v="2"/>
    <x v="0"/>
    <x v="0"/>
    <x v="0"/>
    <x v="0"/>
    <n v="27749.448105028481"/>
  </r>
  <r>
    <x v="2"/>
    <x v="0"/>
    <x v="0"/>
    <x v="0"/>
    <x v="1"/>
    <n v="27675"/>
  </r>
  <r>
    <x v="2"/>
    <x v="0"/>
    <x v="0"/>
    <x v="0"/>
    <x v="4"/>
    <n v="27543.580796252929"/>
  </r>
  <r>
    <x v="2"/>
    <x v="0"/>
    <x v="0"/>
    <x v="0"/>
    <x v="5"/>
    <n v="27404.035789473681"/>
  </r>
  <r>
    <x v="2"/>
    <x v="0"/>
    <x v="2"/>
    <x v="0"/>
    <x v="1"/>
    <n v="42426.567287090344"/>
  </r>
  <r>
    <x v="2"/>
    <x v="0"/>
    <x v="2"/>
    <x v="0"/>
    <x v="4"/>
    <n v="45179.551483243253"/>
  </r>
  <r>
    <x v="2"/>
    <x v="0"/>
    <x v="2"/>
    <x v="0"/>
    <x v="5"/>
    <n v="44970.124278093477"/>
  </r>
  <r>
    <x v="2"/>
    <x v="0"/>
    <x v="2"/>
    <x v="0"/>
    <x v="6"/>
    <n v="44830.995328423887"/>
  </r>
  <r>
    <x v="2"/>
    <x v="0"/>
    <x v="2"/>
    <x v="0"/>
    <x v="2"/>
    <n v="44847.280231817698"/>
  </r>
  <r>
    <x v="2"/>
    <x v="0"/>
    <x v="2"/>
    <x v="0"/>
    <x v="3"/>
    <n v="44752.312897437027"/>
  </r>
  <r>
    <x v="2"/>
    <x v="0"/>
    <x v="1"/>
    <x v="0"/>
    <x v="2"/>
    <n v="41010"/>
  </r>
  <r>
    <x v="2"/>
    <x v="0"/>
    <x v="1"/>
    <x v="0"/>
    <x v="3"/>
    <n v="40820"/>
  </r>
  <r>
    <x v="3"/>
    <x v="0"/>
    <x v="0"/>
    <x v="0"/>
    <x v="1"/>
    <n v="26653"/>
  </r>
  <r>
    <x v="3"/>
    <x v="0"/>
    <x v="0"/>
    <x v="0"/>
    <x v="4"/>
    <n v="24411.007637294719"/>
  </r>
  <r>
    <x v="3"/>
    <x v="0"/>
    <x v="0"/>
    <x v="0"/>
    <x v="5"/>
    <n v="22338.12086371284"/>
  </r>
  <r>
    <x v="3"/>
    <x v="0"/>
    <x v="0"/>
    <x v="0"/>
    <x v="6"/>
    <n v="21530.50140451773"/>
  </r>
  <r>
    <x v="3"/>
    <x v="0"/>
    <x v="0"/>
    <x v="0"/>
    <x v="2"/>
    <n v="20799.266196917481"/>
  </r>
  <r>
    <x v="3"/>
    <x v="0"/>
    <x v="0"/>
    <x v="0"/>
    <x v="3"/>
    <n v="21517"/>
  </r>
  <r>
    <x v="3"/>
    <x v="0"/>
    <x v="2"/>
    <x v="0"/>
    <x v="0"/>
    <n v="40476"/>
  </r>
  <r>
    <x v="3"/>
    <x v="0"/>
    <x v="2"/>
    <x v="0"/>
    <x v="1"/>
    <n v="34613.079007954562"/>
  </r>
  <r>
    <x v="3"/>
    <x v="0"/>
    <x v="2"/>
    <x v="0"/>
    <x v="4"/>
    <n v="35665.17601899134"/>
  </r>
  <r>
    <x v="3"/>
    <x v="0"/>
    <x v="2"/>
    <x v="0"/>
    <x v="5"/>
    <n v="33403.169661682958"/>
  </r>
  <r>
    <x v="3"/>
    <x v="0"/>
    <x v="2"/>
    <x v="0"/>
    <x v="6"/>
    <n v="32811.580997352619"/>
  </r>
  <r>
    <x v="3"/>
    <x v="0"/>
    <x v="2"/>
    <x v="0"/>
    <x v="2"/>
    <n v="31981.186715997039"/>
  </r>
  <r>
    <x v="3"/>
    <x v="0"/>
    <x v="2"/>
    <x v="0"/>
    <x v="3"/>
    <n v="30972.672317599339"/>
  </r>
  <r>
    <x v="3"/>
    <x v="0"/>
    <x v="1"/>
    <x v="0"/>
    <x v="2"/>
    <n v="39096.818827178897"/>
  </r>
  <r>
    <x v="3"/>
    <x v="0"/>
    <x v="1"/>
    <x v="0"/>
    <x v="3"/>
    <n v="37948.063431501127"/>
  </r>
  <r>
    <x v="4"/>
    <x v="0"/>
    <x v="0"/>
    <x v="0"/>
    <x v="0"/>
    <n v="24948.431767753111"/>
  </r>
  <r>
    <x v="4"/>
    <x v="0"/>
    <x v="0"/>
    <x v="0"/>
    <x v="1"/>
    <n v="23662.889070231071"/>
  </r>
  <r>
    <x v="4"/>
    <x v="0"/>
    <x v="0"/>
    <x v="0"/>
    <x v="4"/>
    <n v="24145.933038751489"/>
  </r>
  <r>
    <x v="4"/>
    <x v="0"/>
    <x v="0"/>
    <x v="0"/>
    <x v="5"/>
    <n v="24016.43249726417"/>
  </r>
  <r>
    <x v="4"/>
    <x v="0"/>
    <x v="0"/>
    <x v="0"/>
    <x v="6"/>
    <n v="23937.966112486731"/>
  </r>
  <r>
    <x v="4"/>
    <x v="0"/>
    <x v="0"/>
    <x v="0"/>
    <x v="2"/>
    <n v="23059.2950808286"/>
  </r>
  <r>
    <x v="4"/>
    <x v="0"/>
    <x v="0"/>
    <x v="0"/>
    <x v="3"/>
    <n v="22682.180285375129"/>
  </r>
  <r>
    <x v="4"/>
    <x v="0"/>
    <x v="2"/>
    <x v="0"/>
    <x v="0"/>
    <n v="33046.648868548182"/>
  </r>
  <r>
    <x v="4"/>
    <x v="0"/>
    <x v="2"/>
    <x v="0"/>
    <x v="1"/>
    <n v="36195.294034766383"/>
  </r>
  <r>
    <x v="4"/>
    <x v="0"/>
    <x v="2"/>
    <x v="0"/>
    <x v="4"/>
    <n v="40334.515671451627"/>
  </r>
  <r>
    <x v="4"/>
    <x v="0"/>
    <x v="2"/>
    <x v="0"/>
    <x v="5"/>
    <n v="40522.75894803369"/>
  </r>
  <r>
    <x v="4"/>
    <x v="0"/>
    <x v="2"/>
    <x v="0"/>
    <x v="6"/>
    <n v="40452.239671626798"/>
  </r>
  <r>
    <x v="4"/>
    <x v="0"/>
    <x v="2"/>
    <x v="0"/>
    <x v="2"/>
    <n v="40529.851955670238"/>
  </r>
  <r>
    <x v="4"/>
    <x v="0"/>
    <x v="2"/>
    <x v="0"/>
    <x v="3"/>
    <n v="40495.974202742887"/>
  </r>
  <r>
    <x v="4"/>
    <x v="0"/>
    <x v="1"/>
    <x v="0"/>
    <x v="0"/>
    <n v="30095"/>
  </r>
  <r>
    <x v="4"/>
    <x v="0"/>
    <x v="1"/>
    <x v="0"/>
    <x v="1"/>
    <n v="29628"/>
  </r>
  <r>
    <x v="4"/>
    <x v="0"/>
    <x v="1"/>
    <x v="0"/>
    <x v="4"/>
    <n v="29532"/>
  </r>
  <r>
    <x v="4"/>
    <x v="0"/>
    <x v="1"/>
    <x v="0"/>
    <x v="5"/>
    <n v="29457"/>
  </r>
  <r>
    <x v="4"/>
    <x v="0"/>
    <x v="1"/>
    <x v="0"/>
    <x v="6"/>
    <n v="29382"/>
  </r>
  <r>
    <x v="4"/>
    <x v="0"/>
    <x v="1"/>
    <x v="0"/>
    <x v="2"/>
    <n v="31925.460580912859"/>
  </r>
  <r>
    <x v="4"/>
    <x v="0"/>
    <x v="1"/>
    <x v="0"/>
    <x v="3"/>
    <n v="31879.739934826019"/>
  </r>
  <r>
    <x v="5"/>
    <x v="0"/>
    <x v="2"/>
    <x v="0"/>
    <x v="0"/>
    <n v="34082.071857520023"/>
  </r>
  <r>
    <x v="5"/>
    <x v="0"/>
    <x v="2"/>
    <x v="0"/>
    <x v="1"/>
    <n v="33307.879286745592"/>
  </r>
  <r>
    <x v="5"/>
    <x v="0"/>
    <x v="2"/>
    <x v="0"/>
    <x v="4"/>
    <n v="33012.414457609862"/>
  </r>
  <r>
    <x v="5"/>
    <x v="0"/>
    <x v="2"/>
    <x v="0"/>
    <x v="5"/>
    <n v="32789.596804194807"/>
  </r>
  <r>
    <x v="5"/>
    <x v="0"/>
    <x v="2"/>
    <x v="0"/>
    <x v="6"/>
    <n v="32591.72361008263"/>
  </r>
  <r>
    <x v="5"/>
    <x v="0"/>
    <x v="2"/>
    <x v="0"/>
    <x v="2"/>
    <n v="32476.058176192131"/>
  </r>
  <r>
    <x v="5"/>
    <x v="0"/>
    <x v="2"/>
    <x v="0"/>
    <x v="3"/>
    <n v="32360.604806501378"/>
  </r>
  <r>
    <x v="5"/>
    <x v="0"/>
    <x v="1"/>
    <x v="0"/>
    <x v="1"/>
    <n v="36524"/>
  </r>
  <r>
    <x v="5"/>
    <x v="0"/>
    <x v="1"/>
    <x v="0"/>
    <x v="4"/>
    <n v="35458.397283924423"/>
  </r>
  <r>
    <x v="5"/>
    <x v="0"/>
    <x v="1"/>
    <x v="0"/>
    <x v="5"/>
    <n v="35262.018263581384"/>
  </r>
  <r>
    <x v="5"/>
    <x v="0"/>
    <x v="1"/>
    <x v="0"/>
    <x v="6"/>
    <n v="35065.190593039013"/>
  </r>
  <r>
    <x v="5"/>
    <x v="0"/>
    <x v="1"/>
    <x v="0"/>
    <x v="2"/>
    <n v="35174.893440238528"/>
  </r>
  <r>
    <x v="5"/>
    <x v="0"/>
    <x v="1"/>
    <x v="0"/>
    <x v="3"/>
    <n v="35058.63066237165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408095D-79D7-4A27-B8A8-375A2C8A65CD}" name="PivotTable2" cacheId="14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G6:L22" firstHeaderRow="1" firstDataRow="2" firstDataCol="1" rowPageCount="1" colPageCount="1"/>
  <pivotFields count="5">
    <pivotField axis="axisRow" showAll="0" defaultSubtotal="0">
      <items count="4">
        <item x="1"/>
        <item x="0"/>
        <item x="3"/>
        <item x="2"/>
      </items>
    </pivotField>
    <pivotField axis="axisRow" showAll="0" defaultSubtotal="0">
      <items count="3">
        <item x="2"/>
        <item x="1"/>
        <item x="0"/>
      </items>
    </pivotField>
    <pivotField axis="axisCol" showAll="0" defaultSubtotal="0">
      <items count="5">
        <item x="0"/>
        <item x="1"/>
        <item x="2"/>
        <item x="3"/>
        <item x="4"/>
      </items>
    </pivotField>
    <pivotField axis="axisPage" multipleItemSelectionAllowed="1" showAll="0" defaultSubtotal="0">
      <items count="2">
        <item h="1" x="1"/>
        <item x="0"/>
      </items>
    </pivotField>
    <pivotField dataField="1" numFmtId="187" showAll="0" defaultSubtotal="0"/>
  </pivotFields>
  <rowFields count="2">
    <field x="1"/>
    <field x="0"/>
  </rowFields>
  <rowItems count="15">
    <i>
      <x/>
    </i>
    <i r="1">
      <x/>
    </i>
    <i r="1">
      <x v="1"/>
    </i>
    <i r="1">
      <x v="2"/>
    </i>
    <i r="1">
      <x v="3"/>
    </i>
    <i>
      <x v="1"/>
    </i>
    <i r="1">
      <x/>
    </i>
    <i r="1">
      <x v="1"/>
    </i>
    <i r="1">
      <x v="2"/>
    </i>
    <i r="1">
      <x v="3"/>
    </i>
    <i>
      <x v="2"/>
    </i>
    <i r="1">
      <x/>
    </i>
    <i r="1">
      <x v="1"/>
    </i>
    <i r="1">
      <x v="2"/>
    </i>
    <i r="1">
      <x v="3"/>
    </i>
  </rowItems>
  <colFields count="1">
    <field x="2"/>
  </colFields>
  <colItems count="5">
    <i>
      <x/>
    </i>
    <i>
      <x v="1"/>
    </i>
    <i>
      <x v="2"/>
    </i>
    <i>
      <x v="3"/>
    </i>
    <i>
      <x v="4"/>
    </i>
  </colItems>
  <pageFields count="1">
    <pageField fld="3" hier="-1"/>
  </pageFields>
  <dataFields count="1">
    <dataField name="Sum of MSRP 2021$" fld="4" baseField="1" baseItem="0" numFmtId="3"/>
  </dataFields>
  <chartFormats count="5">
    <chartFormat chart="1" format="0" series="1">
      <pivotArea type="data" outline="0" fieldPosition="0">
        <references count="2">
          <reference field="4294967294" count="1" selected="0">
            <x v="0"/>
          </reference>
          <reference field="2" count="1" selected="0">
            <x v="0"/>
          </reference>
        </references>
      </pivotArea>
    </chartFormat>
    <chartFormat chart="1" format="1" series="1">
      <pivotArea type="data" outline="0" fieldPosition="0">
        <references count="2">
          <reference field="4294967294" count="1" selected="0">
            <x v="0"/>
          </reference>
          <reference field="2" count="1" selected="0">
            <x v="1"/>
          </reference>
        </references>
      </pivotArea>
    </chartFormat>
    <chartFormat chart="1" format="2" series="1">
      <pivotArea type="data" outline="0" fieldPosition="0">
        <references count="2">
          <reference field="4294967294" count="1" selected="0">
            <x v="0"/>
          </reference>
          <reference field="2" count="1" selected="0">
            <x v="2"/>
          </reference>
        </references>
      </pivotArea>
    </chartFormat>
    <chartFormat chart="1" format="3" series="1">
      <pivotArea type="data" outline="0" fieldPosition="0">
        <references count="2">
          <reference field="4294967294" count="1" selected="0">
            <x v="0"/>
          </reference>
          <reference field="2" count="1" selected="0">
            <x v="3"/>
          </reference>
        </references>
      </pivotArea>
    </chartFormat>
    <chartFormat chart="1" format="4" series="1">
      <pivotArea type="data" outline="0" fieldPosition="0">
        <references count="2">
          <reference field="4294967294" count="1" selected="0">
            <x v="0"/>
          </reference>
          <reference field="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FF6877E-C55F-4EC3-BD36-F8F70C88FA46}" name="PivotTable3" cacheId="14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H8:O28" firstHeaderRow="1" firstDataRow="2" firstDataCol="1" rowPageCount="2" colPageCount="1"/>
  <pivotFields count="6">
    <pivotField axis="axisRow" showAll="0" defaultSubtotal="0">
      <items count="6">
        <item x="1"/>
        <item x="4"/>
        <item x="0"/>
        <item x="5"/>
        <item x="2"/>
        <item x="3"/>
      </items>
    </pivotField>
    <pivotField axis="axisPage" multipleItemSelectionAllowed="1" showAll="0" defaultSubtotal="0">
      <items count="1">
        <item x="0"/>
      </items>
    </pivotField>
    <pivotField axis="axisRow" showAll="0" defaultSubtotal="0">
      <items count="3">
        <item x="0"/>
        <item x="2"/>
        <item x="1"/>
      </items>
    </pivotField>
    <pivotField axis="axisPage" multipleItemSelectionAllowed="1" showAll="0" defaultSubtotal="0">
      <items count="1">
        <item x="0"/>
      </items>
    </pivotField>
    <pivotField axis="axisCol" showAll="0" defaultSubtotal="0">
      <items count="7">
        <item x="0"/>
        <item x="1"/>
        <item x="4"/>
        <item x="5"/>
        <item x="6"/>
        <item x="2"/>
        <item x="3"/>
      </items>
    </pivotField>
    <pivotField dataField="1" numFmtId="187" showAll="0" defaultSubtotal="0"/>
  </pivotFields>
  <rowFields count="2">
    <field x="2"/>
    <field x="0"/>
  </rowFields>
  <rowItems count="19">
    <i>
      <x/>
    </i>
    <i r="1">
      <x/>
    </i>
    <i r="1">
      <x v="1"/>
    </i>
    <i r="1">
      <x v="2"/>
    </i>
    <i r="1">
      <x v="4"/>
    </i>
    <i r="1">
      <x v="5"/>
    </i>
    <i>
      <x v="1"/>
    </i>
    <i r="1">
      <x/>
    </i>
    <i r="1">
      <x v="1"/>
    </i>
    <i r="1">
      <x v="3"/>
    </i>
    <i r="1">
      <x v="4"/>
    </i>
    <i r="1">
      <x v="5"/>
    </i>
    <i>
      <x v="2"/>
    </i>
    <i r="1">
      <x/>
    </i>
    <i r="1">
      <x v="1"/>
    </i>
    <i r="1">
      <x v="2"/>
    </i>
    <i r="1">
      <x v="3"/>
    </i>
    <i r="1">
      <x v="4"/>
    </i>
    <i r="1">
      <x v="5"/>
    </i>
  </rowItems>
  <colFields count="1">
    <field x="4"/>
  </colFields>
  <colItems count="7">
    <i>
      <x/>
    </i>
    <i>
      <x v="1"/>
    </i>
    <i>
      <x v="2"/>
    </i>
    <i>
      <x v="3"/>
    </i>
    <i>
      <x v="4"/>
    </i>
    <i>
      <x v="5"/>
    </i>
    <i>
      <x v="6"/>
    </i>
  </colItems>
  <pageFields count="2">
    <pageField fld="3" hier="-1"/>
    <pageField fld="1" hier="-1"/>
  </pageFields>
  <dataFields count="1">
    <dataField name="Sum of MSRP 2021$" fld="5" baseField="0" baseItem="5"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readedComments/threadedComment1.xml><?xml version="1.0" encoding="utf-8"?>
<ThreadedComments xmlns="http://schemas.microsoft.com/office/spreadsheetml/2018/threadedcomments" xmlns:x="http://schemas.openxmlformats.org/spreadsheetml/2006/main">
  <threadedComment ref="D29" dT="2023-09-15T07:17:28.09" personId="{854C39A6-04FA-466B-A339-E949B3953BD4}" id="{0F7566C5-E67F-48BD-8F84-D83C2401F9EB}">
    <text>To get same pkm as in DMD_PRJ</text>
  </threadedComment>
</ThreadedComments>
</file>

<file path=xl/threadedComments/threadedComment2.xml><?xml version="1.0" encoding="utf-8"?>
<ThreadedComments xmlns="http://schemas.microsoft.com/office/spreadsheetml/2018/threadedcomments" xmlns:x="http://schemas.openxmlformats.org/spreadsheetml/2006/main">
  <threadedComment ref="AI69" dT="2023-08-16T14:22:21.47" personId="{854C39A6-04FA-466B-A339-E949B3953BD4}" id="{4A412747-D93B-4447-888E-72220ADCBF76}">
    <text>From DFFE 2020 Inventory</text>
  </threadedComment>
  <threadedComment ref="AG70" dT="2023-08-16T14:30:21.35" personId="{854C39A6-04FA-466B-A339-E949B3953BD4}" id="{60667CC2-4F4A-4812-B03C-FC4FCFAC1576}">
    <text>DFFE 2020 Inventory</text>
  </threadedComment>
  <threadedComment ref="AF71" dT="2023-08-16T14:30:08.27" personId="{854C39A6-04FA-466B-A339-E949B3953BD4}" id="{6B9D6E88-508D-4684-8623-015EFB6E252E}">
    <text>ESRG EB</text>
  </threadedComment>
  <threadedComment ref="AK71" dT="2023-08-16T14:29:19.42" personId="{854C39A6-04FA-466B-A339-E949B3953BD4}" id="{9A7B1247-3136-4A7E-A77A-8C218D1AD011}">
    <text>ESRG EB (Liquid Fuels Database)</text>
  </threadedComment>
  <threadedComment ref="AL86" dT="2023-08-16T15:01:02.53" personId="{854C39A6-04FA-466B-A339-E949B3953BD4}" id="{841296E5-9C9C-48A1-9472-ADC630808A06}">
    <text>From ESRG EB 2017  (Liquid Fuels Database)</text>
  </threadedComment>
  <threadedComment ref="AL87" dT="2023-08-16T15:01:16.31" personId="{854C39A6-04FA-466B-A339-E949B3953BD4}" id="{9F3C0005-9191-4998-8F63-8CDE76E89084}">
    <text>From ESRG EB 2017  (Liquid Fuels Database) - under "Fishing"</text>
  </threadedComment>
  <threadedComment ref="BH132" dT="2023-08-10T08:37:09.46" personId="{854C39A6-04FA-466B-A339-E949B3953BD4}" id="{9938EC76-5E08-4F4F-8B31-055D35118E98}">
    <text>Accounting for other elc uses by Transnet here as well</text>
  </threadedComment>
</ThreadedComments>
</file>

<file path=xl/threadedComments/threadedComment3.xml><?xml version="1.0" encoding="utf-8"?>
<ThreadedComments xmlns="http://schemas.microsoft.com/office/spreadsheetml/2018/threadedcomments" xmlns:x="http://schemas.openxmlformats.org/spreadsheetml/2006/main">
  <threadedComment ref="AU12" dT="2022-09-09T11:27:36.36" personId="{CD00CC2D-7DAE-4D14-9E9B-8CA64DAB4BA2}" id="{7DC3A092-42C1-4E7C-BBA1-997EC9C2FF95}">
    <text>reduced from 0.8 to try and reduce the jump up in 2028-2029 in sales</text>
  </threadedComment>
</ThreadedComments>
</file>

<file path=xl/threadedComments/threadedComment4.xml><?xml version="1.0" encoding="utf-8"?>
<ThreadedComments xmlns="http://schemas.microsoft.com/office/spreadsheetml/2018/threadedcomments" xmlns:x="http://schemas.openxmlformats.org/spreadsheetml/2006/main">
  <threadedComment ref="F5" dT="2024-06-28T13:22:20.50" personId="{4C2C9D78-318C-499B-A9D8-66B7B988C5FA}" id="{B58A53B0-839B-44C0-82D7-008214954688}">
    <text>Defined in SysSettings</text>
  </threadedComment>
</ThreadedComment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2.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hyperlink" Target="http://www.eskom.co.za/OurCompany/SustainableDevelopment/Pages/CDM_Calculations.aspx" TargetMode="External"/><Relationship Id="rId5" Type="http://schemas.microsoft.com/office/2017/10/relationships/threadedComment" Target="../threadedComments/threadedComment2.xml"/><Relationship Id="rId4" Type="http://schemas.openxmlformats.org/officeDocument/2006/relationships/comments" Target="../comments4.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3.bin"/><Relationship Id="rId5" Type="http://schemas.microsoft.com/office/2017/10/relationships/threadedComment" Target="../threadedComments/threadedComment3.xml"/><Relationship Id="rId4" Type="http://schemas.openxmlformats.org/officeDocument/2006/relationships/comments" Target="../comments5.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s://www.csir.co.za/state-logistics-survey-south-africa-gearing-change" TargetMode="External"/></Relationships>
</file>

<file path=xl/worksheets/_rels/sheet15.xml.rels><?xml version="1.0" encoding="UTF-8" standalone="yes"?>
<Relationships xmlns="http://schemas.openxmlformats.org/package/2006/relationships"><Relationship Id="rId3" Type="http://schemas.microsoft.com/office/2017/10/relationships/threadedComment" Target="../threadedComments/threadedComment4.xml"/><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22.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hyperlink" Target="https://www.nrel.gov/transportation/t3co.html" TargetMode="External"/><Relationship Id="rId1" Type="http://schemas.openxmlformats.org/officeDocument/2006/relationships/pivotTable" Target="../pivotTables/pivotTable1.xml"/></Relationships>
</file>

<file path=xl/worksheets/_rels/sheet23.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hyperlink" Target="https://www.nrel.gov/transportation/adopt.html" TargetMode="External"/><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8A7116-B4B3-4091-BF69-660FC695FD95}">
  <sheetPr>
    <tabColor rgb="FF00B0F0"/>
  </sheetPr>
  <dimension ref="A1:K34"/>
  <sheetViews>
    <sheetView workbookViewId="0"/>
  </sheetViews>
  <sheetFormatPr defaultRowHeight="15" x14ac:dyDescent="0.25"/>
  <cols>
    <col min="2" max="2" width="13.5703125" customWidth="1"/>
    <col min="3" max="3" width="35.42578125" bestFit="1" customWidth="1"/>
    <col min="4" max="4" width="10" bestFit="1" customWidth="1"/>
    <col min="6" max="6" width="9.85546875" customWidth="1"/>
    <col min="9" max="9" width="22.5703125" bestFit="1" customWidth="1"/>
    <col min="10" max="10" width="13.42578125" customWidth="1"/>
    <col min="11" max="11" width="24.85546875" customWidth="1"/>
  </cols>
  <sheetData>
    <row r="1" spans="1:11" ht="20.25" thickBot="1" x14ac:dyDescent="0.35">
      <c r="A1" s="217" t="s">
        <v>902</v>
      </c>
    </row>
    <row r="2" spans="1:11" ht="15.75" thickTop="1" x14ac:dyDescent="0.25"/>
    <row r="3" spans="1:11" ht="18" thickBot="1" x14ac:dyDescent="0.35">
      <c r="B3" s="1" t="s">
        <v>903</v>
      </c>
      <c r="I3" s="1" t="s">
        <v>546</v>
      </c>
    </row>
    <row r="4" spans="1:11" ht="16.5" thickTop="1" thickBot="1" x14ac:dyDescent="0.3">
      <c r="A4" s="2"/>
      <c r="B4" s="2" t="s">
        <v>904</v>
      </c>
      <c r="C4" s="2" t="s">
        <v>907</v>
      </c>
      <c r="D4" s="2" t="s">
        <v>908</v>
      </c>
      <c r="E4" s="2" t="s">
        <v>909</v>
      </c>
      <c r="F4" s="2" t="s">
        <v>910</v>
      </c>
      <c r="G4" s="2"/>
      <c r="H4" s="2" t="s">
        <v>911</v>
      </c>
      <c r="I4" s="2" t="s">
        <v>904</v>
      </c>
      <c r="J4" s="2">
        <v>2017</v>
      </c>
    </row>
    <row r="5" spans="1:11" x14ac:dyDescent="0.25">
      <c r="A5" s="220" t="s">
        <v>503</v>
      </c>
      <c r="B5" s="227" t="s">
        <v>906</v>
      </c>
      <c r="C5" s="220"/>
      <c r="D5" s="220"/>
      <c r="E5" s="220"/>
      <c r="F5" s="220"/>
      <c r="G5" s="220"/>
      <c r="H5" s="220" t="s">
        <v>503</v>
      </c>
      <c r="I5" s="227" t="s">
        <v>912</v>
      </c>
      <c r="J5" s="227" t="s">
        <v>913</v>
      </c>
      <c r="K5" s="227" t="s">
        <v>918</v>
      </c>
    </row>
    <row r="6" spans="1:11" x14ac:dyDescent="0.25">
      <c r="A6" s="220" t="s">
        <v>504</v>
      </c>
      <c r="B6" s="227" t="s">
        <v>283</v>
      </c>
      <c r="C6" s="220" t="s">
        <v>418</v>
      </c>
      <c r="D6" s="220" t="s">
        <v>914</v>
      </c>
      <c r="E6" s="220" t="s">
        <v>915</v>
      </c>
      <c r="F6" s="220" t="s">
        <v>505</v>
      </c>
      <c r="G6" s="220"/>
      <c r="H6" s="220" t="s">
        <v>905</v>
      </c>
      <c r="I6" s="220" t="s">
        <v>283</v>
      </c>
      <c r="J6" s="390">
        <f>SUMIF(Demand_Calcs!$E$7:$E$82,$B6,Demand_Calcs!$L$7:$L$82)</f>
        <v>17.75419180206795</v>
      </c>
      <c r="K6" s="220"/>
    </row>
    <row r="7" spans="1:11" x14ac:dyDescent="0.25">
      <c r="A7" s="220" t="s">
        <v>504</v>
      </c>
      <c r="B7" s="227" t="s">
        <v>238</v>
      </c>
      <c r="C7" s="220" t="s">
        <v>419</v>
      </c>
      <c r="D7" s="220" t="s">
        <v>914</v>
      </c>
      <c r="E7" s="220" t="s">
        <v>915</v>
      </c>
      <c r="F7" s="220" t="s">
        <v>505</v>
      </c>
      <c r="G7" s="220"/>
      <c r="H7" s="220" t="s">
        <v>905</v>
      </c>
      <c r="I7" s="220" t="s">
        <v>238</v>
      </c>
      <c r="J7" s="390">
        <f>SUMIF(Demand_Calcs!$E$7:$E$82,$B7,Demand_Calcs!$L$7:$L$82)</f>
        <v>81.145632377784935</v>
      </c>
      <c r="K7" s="220"/>
    </row>
    <row r="8" spans="1:11" x14ac:dyDescent="0.25">
      <c r="A8" s="220" t="s">
        <v>504</v>
      </c>
      <c r="B8" s="227" t="s">
        <v>289</v>
      </c>
      <c r="C8" s="220" t="s">
        <v>420</v>
      </c>
      <c r="D8" s="220" t="s">
        <v>914</v>
      </c>
      <c r="E8" s="220" t="s">
        <v>915</v>
      </c>
      <c r="F8" s="220" t="s">
        <v>505</v>
      </c>
      <c r="G8" s="220"/>
      <c r="H8" s="220" t="s">
        <v>905</v>
      </c>
      <c r="I8" s="220" t="s">
        <v>289</v>
      </c>
      <c r="J8" s="390">
        <f>SUMIF(Demand_Calcs!$E$7:$E$82,$B8,Demand_Calcs!$L$7:$L$82)</f>
        <v>5.9227912022632543</v>
      </c>
      <c r="K8" s="220"/>
    </row>
    <row r="9" spans="1:11" x14ac:dyDescent="0.25">
      <c r="A9" s="220" t="s">
        <v>504</v>
      </c>
      <c r="B9" s="227" t="s">
        <v>235</v>
      </c>
      <c r="C9" s="220" t="s">
        <v>421</v>
      </c>
      <c r="D9" s="220" t="s">
        <v>914</v>
      </c>
      <c r="E9" s="220" t="s">
        <v>915</v>
      </c>
      <c r="F9" s="220" t="s">
        <v>505</v>
      </c>
      <c r="G9" s="220"/>
      <c r="H9" s="220" t="s">
        <v>905</v>
      </c>
      <c r="I9" s="220" t="s">
        <v>235</v>
      </c>
      <c r="J9" s="390">
        <f>SUMIF(Demand_Calcs!$E$7:$E$82,$B9,Demand_Calcs!$L$7:$L$82)</f>
        <v>0.64296697178877849</v>
      </c>
      <c r="K9" s="220"/>
    </row>
    <row r="10" spans="1:11" x14ac:dyDescent="0.25">
      <c r="A10" s="220" t="s">
        <v>504</v>
      </c>
      <c r="B10" s="227" t="s">
        <v>279</v>
      </c>
      <c r="C10" s="220" t="s">
        <v>422</v>
      </c>
      <c r="D10" s="220" t="s">
        <v>914</v>
      </c>
      <c r="E10" s="220" t="s">
        <v>915</v>
      </c>
      <c r="F10" s="220" t="s">
        <v>505</v>
      </c>
      <c r="G10" s="220"/>
      <c r="H10" s="220" t="s">
        <v>905</v>
      </c>
      <c r="I10" s="220" t="s">
        <v>279</v>
      </c>
      <c r="J10" s="390">
        <f>SUMIF(Demand_Calcs!$E$7:$E$82,$B10,Demand_Calcs!$L$7:$L$82)</f>
        <v>7.2130505455454887</v>
      </c>
      <c r="K10" s="220"/>
    </row>
    <row r="11" spans="1:11" x14ac:dyDescent="0.25">
      <c r="A11" s="220" t="s">
        <v>504</v>
      </c>
      <c r="B11" s="227" t="s">
        <v>396</v>
      </c>
      <c r="C11" s="220" t="s">
        <v>423</v>
      </c>
      <c r="D11" s="220" t="s">
        <v>914</v>
      </c>
      <c r="E11" s="220" t="s">
        <v>915</v>
      </c>
      <c r="F11" s="220" t="s">
        <v>505</v>
      </c>
      <c r="G11" s="220"/>
      <c r="H11" s="220" t="s">
        <v>905</v>
      </c>
      <c r="I11" s="220" t="s">
        <v>396</v>
      </c>
      <c r="J11" s="386">
        <v>7.2799982901224303E-2</v>
      </c>
      <c r="K11" s="220" t="s">
        <v>919</v>
      </c>
    </row>
    <row r="12" spans="1:11" x14ac:dyDescent="0.25">
      <c r="A12" s="220" t="s">
        <v>504</v>
      </c>
      <c r="B12" s="227" t="s">
        <v>426</v>
      </c>
      <c r="C12" s="220" t="s">
        <v>424</v>
      </c>
      <c r="D12" s="220" t="s">
        <v>916</v>
      </c>
      <c r="E12" s="220" t="s">
        <v>915</v>
      </c>
      <c r="F12" s="220" t="s">
        <v>505</v>
      </c>
      <c r="G12" s="220"/>
      <c r="H12" s="220" t="s">
        <v>905</v>
      </c>
      <c r="I12" s="220" t="s">
        <v>426</v>
      </c>
      <c r="J12" s="390">
        <f>SUMIF(Demand_Calcs!$E$7:$E$82,$B12,Demand_Calcs!$L$7:$L$82)</f>
        <v>15.8</v>
      </c>
      <c r="K12" s="220"/>
    </row>
    <row r="13" spans="1:11" x14ac:dyDescent="0.25">
      <c r="A13" s="220" t="s">
        <v>504</v>
      </c>
      <c r="B13" s="227" t="s">
        <v>427</v>
      </c>
      <c r="C13" s="220" t="s">
        <v>425</v>
      </c>
      <c r="D13" s="220" t="s">
        <v>916</v>
      </c>
      <c r="E13" s="220" t="s">
        <v>915</v>
      </c>
      <c r="F13" s="220" t="s">
        <v>505</v>
      </c>
      <c r="G13" s="220"/>
      <c r="H13" s="220" t="s">
        <v>905</v>
      </c>
      <c r="I13" s="220" t="s">
        <v>427</v>
      </c>
      <c r="J13" s="386">
        <v>0.64854136839212595</v>
      </c>
      <c r="K13" s="220" t="s">
        <v>919</v>
      </c>
    </row>
    <row r="14" spans="1:11" x14ac:dyDescent="0.25">
      <c r="A14" s="220" t="s">
        <v>503</v>
      </c>
      <c r="B14" s="227"/>
      <c r="C14" s="220"/>
      <c r="D14" s="220"/>
      <c r="E14" s="220"/>
      <c r="F14" s="220"/>
      <c r="G14" s="220"/>
      <c r="H14" s="220" t="s">
        <v>503</v>
      </c>
      <c r="I14" s="220"/>
      <c r="J14" s="390"/>
      <c r="K14" s="220"/>
    </row>
    <row r="15" spans="1:11" x14ac:dyDescent="0.25">
      <c r="A15" s="220" t="s">
        <v>504</v>
      </c>
      <c r="B15" s="227" t="s">
        <v>276</v>
      </c>
      <c r="C15" s="220" t="s">
        <v>430</v>
      </c>
      <c r="D15" s="220" t="s">
        <v>914</v>
      </c>
      <c r="E15" s="220" t="s">
        <v>915</v>
      </c>
      <c r="F15" s="220" t="s">
        <v>505</v>
      </c>
      <c r="G15" s="220"/>
      <c r="H15" s="220" t="s">
        <v>905</v>
      </c>
      <c r="I15" s="220" t="s">
        <v>276</v>
      </c>
      <c r="J15" s="390">
        <f>SUMIF(Demand_Calcs!$E$7:$E$82,$B15,Demand_Calcs!$L$7:$L$82)</f>
        <v>47.584820585749924</v>
      </c>
      <c r="K15" s="220"/>
    </row>
    <row r="16" spans="1:11" x14ac:dyDescent="0.25">
      <c r="A16" s="220"/>
      <c r="B16" s="227" t="s">
        <v>253</v>
      </c>
      <c r="C16" s="220" t="s">
        <v>431</v>
      </c>
      <c r="D16" s="220" t="s">
        <v>914</v>
      </c>
      <c r="E16" s="220" t="s">
        <v>915</v>
      </c>
      <c r="F16" s="220" t="s">
        <v>505</v>
      </c>
      <c r="G16" s="220"/>
      <c r="H16" s="220" t="s">
        <v>905</v>
      </c>
      <c r="I16" s="220" t="s">
        <v>253</v>
      </c>
      <c r="J16" s="390">
        <f>SUMIF(Demand_Calcs!$E$7:$E$82,$B16,Demand_Calcs!$L$7:$L$82)</f>
        <v>3.6514783707452807</v>
      </c>
      <c r="K16" s="220"/>
    </row>
    <row r="17" spans="1:11" x14ac:dyDescent="0.25">
      <c r="A17" s="220"/>
      <c r="B17" s="227" t="s">
        <v>259</v>
      </c>
      <c r="C17" s="220" t="s">
        <v>432</v>
      </c>
      <c r="D17" s="220" t="s">
        <v>914</v>
      </c>
      <c r="E17" s="220" t="s">
        <v>915</v>
      </c>
      <c r="F17" s="220" t="s">
        <v>505</v>
      </c>
      <c r="G17" s="220"/>
      <c r="H17" s="220" t="s">
        <v>905</v>
      </c>
      <c r="I17" s="220" t="s">
        <v>259</v>
      </c>
      <c r="J17" s="390">
        <f>SUMIF(Demand_Calcs!$E$7:$E$82,$B17,Demand_Calcs!$L$7:$L$82)</f>
        <v>1.0030192144974721</v>
      </c>
      <c r="K17" s="220"/>
    </row>
    <row r="18" spans="1:11" x14ac:dyDescent="0.25">
      <c r="A18" s="220"/>
      <c r="B18" s="227" t="s">
        <v>261</v>
      </c>
      <c r="C18" s="220" t="s">
        <v>433</v>
      </c>
      <c r="D18" s="220" t="s">
        <v>914</v>
      </c>
      <c r="E18" s="220" t="s">
        <v>915</v>
      </c>
      <c r="F18" s="220" t="s">
        <v>505</v>
      </c>
      <c r="G18" s="220"/>
      <c r="H18" s="220" t="s">
        <v>905</v>
      </c>
      <c r="I18" s="220" t="s">
        <v>261</v>
      </c>
      <c r="J18" s="390">
        <f>SUMIF(Demand_Calcs!$E$7:$E$82,$B18,Demand_Calcs!$L$7:$L$82)</f>
        <v>3.2993543784220805</v>
      </c>
      <c r="K18" s="220"/>
    </row>
    <row r="19" spans="1:11" x14ac:dyDescent="0.25">
      <c r="A19" s="220"/>
      <c r="B19" s="227" t="s">
        <v>263</v>
      </c>
      <c r="C19" s="220" t="s">
        <v>434</v>
      </c>
      <c r="D19" s="220" t="s">
        <v>914</v>
      </c>
      <c r="E19" s="220" t="s">
        <v>915</v>
      </c>
      <c r="F19" s="220" t="s">
        <v>505</v>
      </c>
      <c r="G19" s="220"/>
      <c r="H19" s="220" t="s">
        <v>905</v>
      </c>
      <c r="I19" s="220" t="s">
        <v>263</v>
      </c>
      <c r="J19" s="390">
        <f>SUMIF(Demand_Calcs!$E$7:$E$82,$B19,Demand_Calcs!$L$7:$L$82)</f>
        <v>0.5984069891061613</v>
      </c>
      <c r="K19" s="220"/>
    </row>
    <row r="20" spans="1:11" x14ac:dyDescent="0.25">
      <c r="A20" s="220"/>
      <c r="B20" s="227" t="s">
        <v>265</v>
      </c>
      <c r="C20" s="220" t="s">
        <v>435</v>
      </c>
      <c r="D20" s="220" t="s">
        <v>914</v>
      </c>
      <c r="E20" s="220" t="s">
        <v>915</v>
      </c>
      <c r="F20" s="220" t="s">
        <v>505</v>
      </c>
      <c r="G20" s="220"/>
      <c r="H20" s="220" t="s">
        <v>905</v>
      </c>
      <c r="I20" s="220" t="s">
        <v>265</v>
      </c>
      <c r="J20" s="390">
        <f>SUMIF(Demand_Calcs!$E$7:$E$82,$B20,Demand_Calcs!$L$7:$L$82)</f>
        <v>0.29798809605332649</v>
      </c>
      <c r="K20" s="220"/>
    </row>
    <row r="21" spans="1:11" x14ac:dyDescent="0.25">
      <c r="A21" s="220"/>
      <c r="B21" s="227" t="s">
        <v>267</v>
      </c>
      <c r="C21" s="220" t="s">
        <v>436</v>
      </c>
      <c r="D21" s="220" t="s">
        <v>914</v>
      </c>
      <c r="E21" s="220" t="s">
        <v>915</v>
      </c>
      <c r="F21" s="220" t="s">
        <v>505</v>
      </c>
      <c r="G21" s="220"/>
      <c r="H21" s="220" t="s">
        <v>905</v>
      </c>
      <c r="I21" s="220" t="s">
        <v>267</v>
      </c>
      <c r="J21" s="390">
        <f>SUMIF(Demand_Calcs!$E$7:$E$82,$B21,Demand_Calcs!$L$7:$L$82)</f>
        <v>6.6621877646371193</v>
      </c>
      <c r="K21" s="220"/>
    </row>
    <row r="22" spans="1:11" x14ac:dyDescent="0.25">
      <c r="A22" s="220"/>
      <c r="B22" s="227" t="s">
        <v>270</v>
      </c>
      <c r="C22" s="220" t="s">
        <v>437</v>
      </c>
      <c r="D22" s="220" t="s">
        <v>914</v>
      </c>
      <c r="E22" s="220" t="s">
        <v>915</v>
      </c>
      <c r="F22" s="220" t="s">
        <v>505</v>
      </c>
      <c r="G22" s="220"/>
      <c r="H22" s="220" t="s">
        <v>905</v>
      </c>
      <c r="I22" s="220" t="s">
        <v>270</v>
      </c>
      <c r="J22" s="390">
        <f>SUMIF(Demand_Calcs!$E$7:$E$82,$B22,Demand_Calcs!$L$7:$L$82)</f>
        <v>2.2261566306639859</v>
      </c>
      <c r="K22" s="220"/>
    </row>
    <row r="23" spans="1:11" x14ac:dyDescent="0.25">
      <c r="A23" s="220" t="s">
        <v>504</v>
      </c>
      <c r="B23" s="227" t="s">
        <v>272</v>
      </c>
      <c r="C23" s="220" t="s">
        <v>438</v>
      </c>
      <c r="D23" s="220" t="s">
        <v>914</v>
      </c>
      <c r="E23" s="220" t="s">
        <v>915</v>
      </c>
      <c r="F23" s="220" t="s">
        <v>505</v>
      </c>
      <c r="G23" s="220"/>
      <c r="H23" s="220" t="s">
        <v>905</v>
      </c>
      <c r="I23" s="220" t="s">
        <v>272</v>
      </c>
      <c r="J23" s="390">
        <f>SUMIF(Demand_Calcs!$E$7:$E$82,$B23,Demand_Calcs!$L$7:$L$82)</f>
        <v>0.12221367884983668</v>
      </c>
      <c r="K23" s="220"/>
    </row>
    <row r="24" spans="1:11" x14ac:dyDescent="0.25">
      <c r="A24" s="220" t="s">
        <v>504</v>
      </c>
      <c r="B24" s="227" t="s">
        <v>274</v>
      </c>
      <c r="C24" s="220" t="s">
        <v>439</v>
      </c>
      <c r="D24" s="220" t="s">
        <v>914</v>
      </c>
      <c r="E24" s="220" t="s">
        <v>915</v>
      </c>
      <c r="F24" s="220" t="s">
        <v>505</v>
      </c>
      <c r="G24" s="220"/>
      <c r="H24" s="220" t="s">
        <v>905</v>
      </c>
      <c r="I24" s="220" t="s">
        <v>274</v>
      </c>
      <c r="J24" s="390">
        <f>SUMIF(Demand_Calcs!$E$7:$E$82,$B24,Demand_Calcs!$L$7:$L$82)</f>
        <v>2.9412068148240243E-2</v>
      </c>
      <c r="K24" s="220"/>
    </row>
    <row r="25" spans="1:11" x14ac:dyDescent="0.25">
      <c r="A25" s="220" t="s">
        <v>504</v>
      </c>
      <c r="B25" s="227" t="s">
        <v>441</v>
      </c>
      <c r="C25" s="220" t="s">
        <v>440</v>
      </c>
      <c r="D25" s="220" t="s">
        <v>917</v>
      </c>
      <c r="E25" s="220" t="s">
        <v>915</v>
      </c>
      <c r="F25" s="220" t="s">
        <v>505</v>
      </c>
      <c r="G25" s="220"/>
      <c r="H25" s="220" t="s">
        <v>905</v>
      </c>
      <c r="I25" s="220" t="s">
        <v>441</v>
      </c>
      <c r="J25" s="390">
        <f>SUMIF(Demand_Calcs!$E$7:$E$82,$B25,Demand_Calcs!$L$7:$L$82)</f>
        <v>22</v>
      </c>
      <c r="K25" s="220"/>
    </row>
    <row r="26" spans="1:11" x14ac:dyDescent="0.25">
      <c r="A26" s="220" t="s">
        <v>504</v>
      </c>
      <c r="B26" s="227" t="s">
        <v>443</v>
      </c>
      <c r="C26" s="220" t="s">
        <v>442</v>
      </c>
      <c r="D26" s="220" t="s">
        <v>917</v>
      </c>
      <c r="E26" s="220" t="s">
        <v>915</v>
      </c>
      <c r="F26" s="220" t="s">
        <v>505</v>
      </c>
      <c r="G26" s="220"/>
      <c r="H26" s="220" t="s">
        <v>905</v>
      </c>
      <c r="I26" s="220" t="s">
        <v>443</v>
      </c>
      <c r="J26" s="390">
        <f>SUMIF(Demand_Calcs!$E$7:$E$82,$B26,Demand_Calcs!$L$7:$L$82)</f>
        <v>27.142505514316674</v>
      </c>
      <c r="K26" s="220"/>
    </row>
    <row r="27" spans="1:11" x14ac:dyDescent="0.25">
      <c r="A27" s="220" t="s">
        <v>504</v>
      </c>
      <c r="B27" s="227" t="s">
        <v>445</v>
      </c>
      <c r="C27" s="220" t="s">
        <v>444</v>
      </c>
      <c r="D27" s="220" t="s">
        <v>917</v>
      </c>
      <c r="E27" s="220" t="s">
        <v>915</v>
      </c>
      <c r="F27" s="220" t="s">
        <v>505</v>
      </c>
      <c r="G27" s="220"/>
      <c r="H27" s="220" t="s">
        <v>905</v>
      </c>
      <c r="I27" s="220" t="s">
        <v>445</v>
      </c>
      <c r="J27" s="390">
        <f>SUMIF(Demand_Calcs!$E$7:$E$82,$B27,Demand_Calcs!$L$7:$L$82)</f>
        <v>88.67272717824568</v>
      </c>
      <c r="K27" s="220"/>
    </row>
    <row r="28" spans="1:11" x14ac:dyDescent="0.25">
      <c r="A28" s="220" t="s">
        <v>503</v>
      </c>
      <c r="B28" s="227"/>
      <c r="C28" s="220"/>
      <c r="D28" s="220"/>
      <c r="E28" s="220"/>
      <c r="F28" s="220"/>
      <c r="G28" s="220"/>
      <c r="H28" s="220" t="s">
        <v>503</v>
      </c>
      <c r="I28" s="220"/>
      <c r="J28" s="390"/>
      <c r="K28" s="220"/>
    </row>
    <row r="29" spans="1:11" x14ac:dyDescent="0.25">
      <c r="A29" s="220" t="s">
        <v>504</v>
      </c>
      <c r="B29" s="227" t="s">
        <v>448</v>
      </c>
      <c r="C29" s="220" t="s">
        <v>447</v>
      </c>
      <c r="D29" s="220" t="s">
        <v>178</v>
      </c>
      <c r="E29" s="220" t="s">
        <v>915</v>
      </c>
      <c r="F29" s="220" t="s">
        <v>505</v>
      </c>
      <c r="G29" s="220"/>
      <c r="H29" s="220" t="s">
        <v>905</v>
      </c>
      <c r="I29" s="220" t="s">
        <v>448</v>
      </c>
      <c r="J29" s="390">
        <f>SUMIF(Demand_Calcs!$E$7:$E$82,$B29,Demand_Calcs!$L$7:$L$82)</f>
        <v>1.641128256</v>
      </c>
      <c r="K29" s="220"/>
    </row>
    <row r="30" spans="1:11" x14ac:dyDescent="0.25">
      <c r="A30" s="220" t="s">
        <v>504</v>
      </c>
      <c r="B30" s="227" t="s">
        <v>450</v>
      </c>
      <c r="C30" s="220" t="s">
        <v>449</v>
      </c>
      <c r="D30" s="220" t="s">
        <v>178</v>
      </c>
      <c r="E30" s="220" t="s">
        <v>915</v>
      </c>
      <c r="F30" s="220" t="s">
        <v>505</v>
      </c>
      <c r="G30" s="220"/>
      <c r="H30" s="220" t="s">
        <v>905</v>
      </c>
      <c r="I30" s="220" t="s">
        <v>450</v>
      </c>
      <c r="J30" s="390">
        <f>SUMIF(Demand_Calcs!$E$7:$E$82,$B30,Demand_Calcs!$L$7:$L$82)</f>
        <v>68.938999999999993</v>
      </c>
      <c r="K30" s="220"/>
    </row>
    <row r="31" spans="1:11" x14ac:dyDescent="0.25">
      <c r="A31" s="220" t="s">
        <v>504</v>
      </c>
      <c r="B31" s="227" t="s">
        <v>452</v>
      </c>
      <c r="C31" s="220" t="s">
        <v>451</v>
      </c>
      <c r="D31" s="220" t="s">
        <v>178</v>
      </c>
      <c r="E31" s="220" t="s">
        <v>915</v>
      </c>
      <c r="F31" s="220" t="s">
        <v>505</v>
      </c>
      <c r="G31" s="220"/>
      <c r="H31" s="220" t="s">
        <v>905</v>
      </c>
      <c r="I31" s="220" t="s">
        <v>452</v>
      </c>
      <c r="J31" s="390">
        <f>SUMIF(Demand_Calcs!$E$7:$E$82,$B31,Demand_Calcs!$L$7:$L$82)</f>
        <v>20.483000000000001</v>
      </c>
      <c r="K31" s="220"/>
    </row>
    <row r="32" spans="1:11" x14ac:dyDescent="0.25">
      <c r="A32" s="220" t="s">
        <v>504</v>
      </c>
      <c r="B32" s="227" t="s">
        <v>454</v>
      </c>
      <c r="C32" s="220" t="s">
        <v>453</v>
      </c>
      <c r="D32" s="220" t="s">
        <v>178</v>
      </c>
      <c r="E32" s="220" t="s">
        <v>915</v>
      </c>
      <c r="F32" s="220" t="s">
        <v>505</v>
      </c>
      <c r="G32" s="220"/>
      <c r="H32" s="220" t="s">
        <v>905</v>
      </c>
      <c r="I32" s="220" t="s">
        <v>454</v>
      </c>
      <c r="J32" s="390">
        <f>SUMIF(Demand_Calcs!$E$7:$E$82,$B32,Demand_Calcs!$L$7:$L$82)</f>
        <v>0.82200000000000006</v>
      </c>
      <c r="K32" s="220"/>
    </row>
    <row r="33" spans="1:11" x14ac:dyDescent="0.25">
      <c r="A33" s="220" t="s">
        <v>504</v>
      </c>
      <c r="B33" s="227" t="s">
        <v>456</v>
      </c>
      <c r="C33" s="220" t="s">
        <v>455</v>
      </c>
      <c r="D33" s="220" t="s">
        <v>178</v>
      </c>
      <c r="E33" s="220" t="s">
        <v>915</v>
      </c>
      <c r="F33" s="220" t="s">
        <v>505</v>
      </c>
      <c r="G33" s="220"/>
      <c r="H33" s="220" t="s">
        <v>905</v>
      </c>
      <c r="I33" s="220" t="s">
        <v>456</v>
      </c>
      <c r="J33" s="390">
        <f>SUMIF(Demand_Calcs!$E$7:$E$82,$B33,Demand_Calcs!$L$7:$L$82)</f>
        <v>2.77</v>
      </c>
      <c r="K33" s="220"/>
    </row>
    <row r="34" spans="1:11" x14ac:dyDescent="0.25">
      <c r="A34" s="220"/>
      <c r="B34" s="220"/>
      <c r="C34" s="220"/>
      <c r="D34" s="220"/>
      <c r="E34" s="220"/>
      <c r="F34" s="220"/>
      <c r="G34" s="220"/>
      <c r="H34" s="220"/>
      <c r="I34" s="220"/>
      <c r="J34" s="390"/>
      <c r="K34" s="220"/>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C223F9-EF7A-4B86-B456-8EE253B6A895}">
  <sheetPr>
    <tabColor theme="8" tint="0.79998168889431442"/>
  </sheetPr>
  <dimension ref="A1:L82"/>
  <sheetViews>
    <sheetView workbookViewId="0"/>
  </sheetViews>
  <sheetFormatPr defaultRowHeight="15" x14ac:dyDescent="0.25"/>
  <cols>
    <col min="2" max="2" width="16.85546875" style="382" customWidth="1"/>
    <col min="3" max="3" width="54.5703125" style="218" customWidth="1"/>
    <col min="4" max="5" width="10.5703125" style="218" customWidth="1"/>
    <col min="6" max="6" width="12.5703125" style="218" customWidth="1"/>
    <col min="7" max="7" width="14.42578125" style="218" customWidth="1"/>
    <col min="8" max="8" width="10.5703125" style="218" customWidth="1"/>
    <col min="9" max="9" width="9.85546875" style="218" customWidth="1"/>
    <col min="10" max="10" width="11.42578125" customWidth="1"/>
    <col min="11" max="11" width="15" customWidth="1"/>
    <col min="12" max="12" width="17.85546875" customWidth="1"/>
  </cols>
  <sheetData>
    <row r="1" spans="1:12" ht="20.25" thickBot="1" x14ac:dyDescent="0.35">
      <c r="A1" s="217"/>
    </row>
    <row r="2" spans="1:12" ht="15.75" thickTop="1" x14ac:dyDescent="0.25"/>
    <row r="3" spans="1:12" ht="18" thickBot="1" x14ac:dyDescent="0.35">
      <c r="B3" s="383"/>
    </row>
    <row r="4" spans="1:12" ht="46.5" thickTop="1" thickBot="1" x14ac:dyDescent="0.3">
      <c r="A4" s="339" t="s">
        <v>503</v>
      </c>
      <c r="B4" s="339" t="s">
        <v>1</v>
      </c>
      <c r="C4" s="339" t="s">
        <v>2</v>
      </c>
      <c r="D4" s="339" t="s">
        <v>527</v>
      </c>
      <c r="E4" s="339" t="s">
        <v>528</v>
      </c>
      <c r="F4" s="375" t="s">
        <v>529</v>
      </c>
      <c r="G4" s="378" t="s">
        <v>534</v>
      </c>
      <c r="H4" s="378" t="s">
        <v>232</v>
      </c>
      <c r="I4" s="375" t="s">
        <v>539</v>
      </c>
      <c r="J4" s="378" t="s">
        <v>206</v>
      </c>
      <c r="K4" s="339" t="s">
        <v>809</v>
      </c>
      <c r="L4" s="340" t="s">
        <v>808</v>
      </c>
    </row>
    <row r="5" spans="1:12" x14ac:dyDescent="0.25">
      <c r="A5" s="224" t="s">
        <v>547</v>
      </c>
      <c r="B5" s="384"/>
      <c r="C5" s="224"/>
      <c r="D5" s="224"/>
      <c r="E5" s="224"/>
      <c r="F5" s="224">
        <v>2017</v>
      </c>
      <c r="G5" s="224">
        <v>2017</v>
      </c>
      <c r="H5" s="224"/>
      <c r="I5" s="224">
        <v>2017</v>
      </c>
      <c r="J5" s="224">
        <v>2017</v>
      </c>
      <c r="K5" s="234">
        <v>2017</v>
      </c>
      <c r="L5" s="221">
        <v>2017</v>
      </c>
    </row>
    <row r="6" spans="1:12" ht="30" x14ac:dyDescent="0.25">
      <c r="A6" s="232" t="e">
        <f>IF(ITEMS_Tech_E!#REF!="","",ITEMS_Tech_E!#REF!)</f>
        <v>#REF!</v>
      </c>
      <c r="B6" s="385" t="str">
        <f>IF(ITEMS_Tech_E!D6="","",ITEMS_Tech_E!D6)</f>
        <v>*</v>
      </c>
      <c r="C6" s="232" t="str">
        <f>IF(ITEMS_Tech_E!E6="","",ITEMS_Tech_E!E6)</f>
        <v>Private SUVS</v>
      </c>
      <c r="D6" s="374"/>
      <c r="E6" s="374"/>
      <c r="F6" s="376" t="s">
        <v>227</v>
      </c>
      <c r="G6" s="379" t="s">
        <v>806</v>
      </c>
      <c r="H6" s="379" t="s">
        <v>807</v>
      </c>
      <c r="I6" s="380" t="s">
        <v>554</v>
      </c>
      <c r="J6" s="379" t="s">
        <v>178</v>
      </c>
      <c r="K6" s="234" t="s">
        <v>600</v>
      </c>
      <c r="L6" s="221" t="s">
        <v>600</v>
      </c>
    </row>
    <row r="7" spans="1:12" x14ac:dyDescent="0.25">
      <c r="A7" s="232" t="e">
        <f>IF(ITEMS_Tech_E!#REF!="","",ITEMS_Tech_E!#REF!)</f>
        <v>#REF!</v>
      </c>
      <c r="B7" s="385" t="str">
        <f>IF(ITEMS_Tech_E!D7="","",ITEMS_Tech_E!D7)</f>
        <v>TPPRSUVODS-E</v>
      </c>
      <c r="C7" s="232" t="str">
        <f>IF(ITEMS_Tech_E!E7="","",ITEMS_Tech_E!E7)</f>
        <v>Transport Passenger SUV Priv.Veh. Oil Diesel-Existing</v>
      </c>
      <c r="D7" s="219" t="s">
        <v>411</v>
      </c>
      <c r="E7" s="219" t="s">
        <v>283</v>
      </c>
      <c r="F7" s="377">
        <f>IFERROR(INDEX('EFF-E_ANTC'!$C$4:$H$47,MATCH($B7,'EFF-E_ANTC'!$A$4:$A$47,0),MATCH(F$5,'EFF-E_ANTC'!$C$3:$H$3,0)),"")</f>
        <v>0.23305744392160199</v>
      </c>
      <c r="G7" s="379">
        <f>IFERROR(INDEX('AFA-E_ANTC'!$J$5:$O$48,MATCH($B7,'AFA-E_ANTC'!$A$5:$A$48,0),MATCH(G$5,'AFA-E_ANTC'!$J$3:$O$3,0)),"")</f>
        <v>0.81296586924800007</v>
      </c>
      <c r="H7" s="379">
        <f>IFERROR(INDEX('AFA-E_ANTC'!$P$5:$P$48,MATCH($B7,'AFA-E_ANTC'!$A$5:$A$48,0)),"")</f>
        <v>2.4E-2</v>
      </c>
      <c r="I7" s="381">
        <f>IFERROR(INDEX('RESID-E_ANTC'!$M$5:$T$48,MATCH($B7,'RESID-E_ANTC'!$A$5:$A$48,0),MATCH(I$5,'RESID-E_ANTC'!$M$3:$T$3,0)),"")</f>
        <v>439.31608188194201</v>
      </c>
      <c r="J7" s="379">
        <f>IFERROR(INDEX(FNRG_ANTC!$I$4:$I$51,MATCH($B7,FNRG_ANTC!$A$4:$A$51,0)),"")</f>
        <v>36.78</v>
      </c>
      <c r="K7" s="233">
        <f>IFERROR(F7*J7,"")</f>
        <v>8.5718527874365211</v>
      </c>
      <c r="L7" s="226">
        <f>IFERROR(G7*H7*I7,"")</f>
        <v>8.5715755291626863</v>
      </c>
    </row>
    <row r="8" spans="1:12" x14ac:dyDescent="0.25">
      <c r="A8" s="232" t="e">
        <f>IF(ITEMS_Tech_E!#REF!="","",ITEMS_Tech_E!#REF!)</f>
        <v>#REF!</v>
      </c>
      <c r="B8" s="385" t="str">
        <f>IF(ITEMS_Tech_E!D8="","",ITEMS_Tech_E!D8)</f>
        <v>TPPRSUVOGS-E</v>
      </c>
      <c r="C8" s="232" t="str">
        <f>IF(ITEMS_Tech_E!E8="","",ITEMS_Tech_E!E8)</f>
        <v>Transport Passenger SUV Priv.Veh. Oil Gasoline-Existing</v>
      </c>
      <c r="D8" s="219" t="s">
        <v>413</v>
      </c>
      <c r="E8" s="219" t="s">
        <v>283</v>
      </c>
      <c r="F8" s="377">
        <f>IFERROR(INDEX('EFF-E_ANTC'!$C$4:$H$47,MATCH($B8,'EFF-E_ANTC'!$A$4:$A$47,0),MATCH(F$5,'EFF-E_ANTC'!$C$3:$H$3,0)),"")</f>
        <v>0.21576687545224399</v>
      </c>
      <c r="G8" s="379">
        <f>IFERROR(INDEX('AFA-E_ANTC'!$J$5:$O$48,MATCH($B8,'AFA-E_ANTC'!$A$5:$A$48,0),MATCH(G$5,'AFA-E_ANTC'!$J$3:$O$3,0)),"")</f>
        <v>0.80199601758945427</v>
      </c>
      <c r="H8" s="379">
        <f>IFERROR(INDEX('AFA-E_ANTC'!$P$5:$P$48,MATCH($B8,'AFA-E_ANTC'!$A$5:$A$48,0)),"")</f>
        <v>2.4E-2</v>
      </c>
      <c r="I8" s="381">
        <f>IFERROR(INDEX('RESID-E_ANTC'!$M$5:$T$48,MATCH($B8,'RESID-E_ANTC'!$A$5:$A$48,0),MATCH(I$5,'RESID-E_ANTC'!$M$3:$T$3,0)),"")</f>
        <v>476.243900144387</v>
      </c>
      <c r="J8" s="379">
        <f>IFERROR(INDEX(FNRG_ANTC!$I$4:$I$51,MATCH($B8,FNRG_ANTC!$A$4:$A$51,0)),"")</f>
        <v>42.48</v>
      </c>
      <c r="K8" s="233">
        <f t="shared" ref="K8:K71" si="0">IFERROR(F8*J8,"")</f>
        <v>9.1657768692113244</v>
      </c>
      <c r="L8" s="226">
        <f t="shared" ref="L8:L71" si="1">IFERROR(G8*H8*I8,"")</f>
        <v>9.1666970716096348</v>
      </c>
    </row>
    <row r="9" spans="1:12" x14ac:dyDescent="0.25">
      <c r="A9" s="232" t="e">
        <f>IF(ITEMS_Tech_E!#REF!="","",ITEMS_Tech_E!#REF!)</f>
        <v>#REF!</v>
      </c>
      <c r="B9" s="385" t="str">
        <f>IF(ITEMS_Tech_E!D9="","",ITEMS_Tech_E!D9)</f>
        <v>TPPRSUVOGSH-E</v>
      </c>
      <c r="C9" s="232" t="str">
        <f>IF(ITEMS_Tech_E!E9="","",ITEMS_Tech_E!E9)</f>
        <v>Transport Passenger SUV Priv.Veh. Oil GasolineHybrid-Existing</v>
      </c>
      <c r="D9" s="219" t="s">
        <v>413</v>
      </c>
      <c r="E9" s="219" t="s">
        <v>283</v>
      </c>
      <c r="F9" s="377">
        <f>IFERROR(INDEX('EFF-E_ANTC'!$C$4:$H$47,MATCH($B9,'EFF-E_ANTC'!$A$4:$A$47,0),MATCH(F$5,'EFF-E_ANTC'!$C$3:$H$3,0)),"")</f>
        <v>0.42759293682001998</v>
      </c>
      <c r="G9" s="379">
        <f>IFERROR(INDEX('AFA-E_ANTC'!$J$5:$O$48,MATCH($B9,'AFA-E_ANTC'!$A$5:$A$48,0),MATCH(G$5,'AFA-E_ANTC'!$J$3:$O$3,0)),"")</f>
        <v>0.82589871967482076</v>
      </c>
      <c r="H9" s="379">
        <f>IFERROR(INDEX('AFA-E_ANTC'!$P$5:$P$48,MATCH($B9,'AFA-E_ANTC'!$A$5:$A$48,0)),"")</f>
        <v>2.4E-2</v>
      </c>
      <c r="I9" s="381">
        <f>IFERROR(INDEX('RESID-E_ANTC'!$M$5:$T$48,MATCH($B9,'RESID-E_ANTC'!$A$5:$A$48,0),MATCH(I$5,'RESID-E_ANTC'!$M$3:$T$3,0)),"")</f>
        <v>0.80312517525851201</v>
      </c>
      <c r="J9" s="379">
        <f>IFERROR(INDEX(FNRG_ANTC!$I$4:$I$51,MATCH($B9,FNRG_ANTC!$A$4:$A$51,0)),"")</f>
        <v>3.7229999999999999E-2</v>
      </c>
      <c r="K9" s="233">
        <f t="shared" si="0"/>
        <v>1.5919285037809344E-2</v>
      </c>
      <c r="L9" s="226">
        <f t="shared" si="1"/>
        <v>1.5919201295630906E-2</v>
      </c>
    </row>
    <row r="10" spans="1:12" x14ac:dyDescent="0.25">
      <c r="A10" s="232" t="e">
        <f>IF(ITEMS_Tech_E!#REF!="","",ITEMS_Tech_E!#REF!)</f>
        <v>#REF!</v>
      </c>
      <c r="B10" s="385" t="str">
        <f>IF(ITEMS_Tech_E!D10="","",ITEMS_Tech_E!D10)</f>
        <v>TPPRSUVELC-E</v>
      </c>
      <c r="C10" s="232" t="str">
        <f>IF(ITEMS_Tech_E!E10="","",ITEMS_Tech_E!E10)</f>
        <v>Transport Passenger SUV Priv.Veh. Electricity-Existing</v>
      </c>
      <c r="D10" s="219" t="s">
        <v>412</v>
      </c>
      <c r="E10" s="219" t="s">
        <v>283</v>
      </c>
      <c r="F10" s="377">
        <f>IFERROR(INDEX('EFF-E_ANTC'!$C$4:$H$47,MATCH($B10,'EFF-E_ANTC'!$A$4:$A$47,0),MATCH(F$5,'EFF-E_ANTC'!$C$3:$H$3,0)),"")</f>
        <v>1.4770000000000001</v>
      </c>
      <c r="G10" s="379">
        <f>IFERROR(INDEX('AFA-E_ANTC'!$J$5:$O$48,MATCH($B10,'AFA-E_ANTC'!$A$5:$A$48,0),MATCH(G$5,'AFA-E_ANTC'!$J$3:$O$3,0)),"")</f>
        <v>0.88237470217706671</v>
      </c>
      <c r="H10" s="379">
        <f>IFERROR(INDEX('AFA-E_ANTC'!$P$5:$P$48,MATCH($B10,'AFA-E_ANTC'!$A$5:$A$48,0)),"")</f>
        <v>2.4E-2</v>
      </c>
      <c r="I10" s="381">
        <f>IFERROR(INDEX('RESID-E_ANTC'!$M$5:$T$48,MATCH($B10,'RESID-E_ANTC'!$A$5:$A$48,0),MATCH(I$5,'RESID-E_ANTC'!$M$3:$T$3,0)),"")</f>
        <v>0</v>
      </c>
      <c r="J10" s="379">
        <f>IFERROR(INDEX(FNRG_ANTC!$I$4:$I$51,MATCH($B10,FNRG_ANTC!$A$4:$A$51,0)),"")</f>
        <v>0</v>
      </c>
      <c r="K10" s="233">
        <f t="shared" si="0"/>
        <v>0</v>
      </c>
      <c r="L10" s="226">
        <f t="shared" si="1"/>
        <v>0</v>
      </c>
    </row>
    <row r="11" spans="1:12" x14ac:dyDescent="0.25">
      <c r="A11" s="232" t="e">
        <f>IF(ITEMS_Tech_E!#REF!="","",ITEMS_Tech_E!#REF!)</f>
        <v>#REF!</v>
      </c>
      <c r="B11" s="385" t="str">
        <f>IF(ITEMS_Tech_E!D11="","",ITEMS_Tech_E!D11)</f>
        <v>*</v>
      </c>
      <c r="C11" s="232" t="str">
        <f>IF(ITEMS_Tech_E!E11="","",ITEMS_Tech_E!E11)</f>
        <v>Transport Passenger SUV Priv.Veh. Oil DieselHybrid-Existing</v>
      </c>
      <c r="D11" s="219" t="s">
        <v>411</v>
      </c>
      <c r="E11" s="219" t="s">
        <v>283</v>
      </c>
      <c r="F11" s="377">
        <f>IFERROR(INDEX('EFF-E_ANTC'!$C$4:$H$47,MATCH($B11,'EFF-E_ANTC'!$A$4:$A$47,0),MATCH(F$5,'EFF-E_ANTC'!$C$3:$H$3,0)),"")</f>
        <v>6.4348339348895098E-2</v>
      </c>
      <c r="G11" s="379">
        <f>IFERROR(INDEX('AFA-E_ANTC'!$J$5:$O$48,MATCH($B11,'AFA-E_ANTC'!$A$5:$A$48,0),MATCH(G$5,'AFA-E_ANTC'!$J$3:$O$3,0)),"")</f>
        <v>0.42532283795650333</v>
      </c>
      <c r="H11" s="379">
        <f>IFERROR(INDEX('AFA-E_ANTC'!$P$5:$P$48,MATCH($B11,'AFA-E_ANTC'!$A$5:$A$48,0)),"")</f>
        <v>0.06</v>
      </c>
      <c r="I11" s="381">
        <f>IFERROR(INDEX('RESID-E_ANTC'!$M$5:$T$48,MATCH($B11,'RESID-E_ANTC'!$A$5:$A$48,0),MATCH(I$5,'RESID-E_ANTC'!$M$3:$T$3,0)),"")</f>
        <v>25.1952522652347</v>
      </c>
      <c r="J11" s="379">
        <f>IFERROR(INDEX(FNRG_ANTC!$I$4:$I$51,MATCH($B11,FNRG_ANTC!$A$4:$A$51,0)),"")</f>
        <v>9.9920000000000009</v>
      </c>
      <c r="K11" s="233">
        <f t="shared" si="0"/>
        <v>0.6429686067741599</v>
      </c>
      <c r="L11" s="226">
        <f t="shared" si="1"/>
        <v>0.64296697178877849</v>
      </c>
    </row>
    <row r="12" spans="1:12" x14ac:dyDescent="0.25">
      <c r="A12" s="232" t="e">
        <f>IF(ITEMS_Tech_E!#REF!="","",ITEMS_Tech_E!#REF!)</f>
        <v>#REF!</v>
      </c>
      <c r="B12" s="385" t="str">
        <f>IF(ITEMS_Tech_E!D12="","",ITEMS_Tech_E!D12)</f>
        <v>TPPRSUVGAS-E</v>
      </c>
      <c r="C12" s="232" t="str">
        <f>IF(ITEMS_Tech_E!E12="","",ITEMS_Tech_E!E12)</f>
        <v>Transport Passenger SUV Priv.Veh. Gas-Existing</v>
      </c>
      <c r="D12" s="219" t="s">
        <v>563</v>
      </c>
      <c r="E12" s="219" t="s">
        <v>283</v>
      </c>
      <c r="F12" s="377">
        <f>IFERROR(INDEX('EFF-E_ANTC'!$C$4:$H$47,MATCH($B12,'EFF-E_ANTC'!$A$4:$A$47,0),MATCH(F$5,'EFF-E_ANTC'!$C$3:$H$3,0)),"")</f>
        <v>0.2275981390437018</v>
      </c>
      <c r="G12" s="379">
        <f>IFERROR(INDEX('AFA-E_ANTC'!$J$5:$O$48,MATCH($B12,'AFA-E_ANTC'!$A$5:$A$48,0),MATCH(G$5,'AFA-E_ANTC'!$J$3:$O$3,0)),"")</f>
        <v>0</v>
      </c>
      <c r="H12" s="379">
        <f>IFERROR(INDEX('AFA-E_ANTC'!$P$5:$P$48,MATCH($B12,'AFA-E_ANTC'!$A$5:$A$48,0)),"")</f>
        <v>1.9920095193486899E-2</v>
      </c>
      <c r="I12" s="381">
        <f>IFERROR(INDEX('RESID-E_ANTC'!$M$5:$T$48,MATCH($B12,'RESID-E_ANTC'!$A$5:$A$48,0),MATCH(I$5,'RESID-E_ANTC'!$M$3:$T$3,0)),"")</f>
        <v>23.812195007219351</v>
      </c>
      <c r="J12" s="379">
        <f>IFERROR(INDEX(FNRG_ANTC!$I$4:$I$51,MATCH($B12,FNRG_ANTC!$A$4:$A$51,0)),"")</f>
        <v>0</v>
      </c>
      <c r="K12" s="233">
        <f t="shared" si="0"/>
        <v>0</v>
      </c>
      <c r="L12" s="226">
        <f t="shared" si="1"/>
        <v>0</v>
      </c>
    </row>
    <row r="13" spans="1:12" x14ac:dyDescent="0.25">
      <c r="A13" s="232" t="e">
        <f>IF(ITEMS_Tech_E!#REF!="","",ITEMS_Tech_E!#REF!)</f>
        <v>#REF!</v>
      </c>
      <c r="B13" s="385" t="str">
        <f>IF(ITEMS_Tech_E!D13="","",ITEMS_Tech_E!D13)</f>
        <v>*</v>
      </c>
      <c r="C13" s="232" t="str">
        <f>IF(ITEMS_Tech_E!E13="","",ITEMS_Tech_E!E13)</f>
        <v/>
      </c>
      <c r="D13" s="374"/>
      <c r="E13" s="374"/>
      <c r="F13" s="377">
        <f>IFERROR(INDEX('EFF-E_ANTC'!$C$4:$H$47,MATCH($B13,'EFF-E_ANTC'!$A$4:$A$47,0),MATCH(F$5,'EFF-E_ANTC'!$C$3:$H$3,0)),"")</f>
        <v>6.4348339348895098E-2</v>
      </c>
      <c r="G13" s="379">
        <f>IFERROR(INDEX('AFA-E_ANTC'!$J$5:$O$48,MATCH($B13,'AFA-E_ANTC'!$A$5:$A$48,0),MATCH(G$5,'AFA-E_ANTC'!$J$3:$O$3,0)),"")</f>
        <v>0.42532283795650333</v>
      </c>
      <c r="H13" s="379">
        <f>IFERROR(INDEX('AFA-E_ANTC'!$P$5:$P$48,MATCH($B13,'AFA-E_ANTC'!$A$5:$A$48,0)),"")</f>
        <v>0.06</v>
      </c>
      <c r="I13" s="381">
        <f>IFERROR(INDEX('RESID-E_ANTC'!$M$5:$T$48,MATCH($B13,'RESID-E_ANTC'!$A$5:$A$48,0),MATCH(I$5,'RESID-E_ANTC'!$M$3:$T$3,0)),"")</f>
        <v>25.1952522652347</v>
      </c>
      <c r="J13" s="379">
        <f>IFERROR(INDEX(FNRG_ANTC!$I$4:$I$51,MATCH($B13,FNRG_ANTC!$A$4:$A$51,0)),"")</f>
        <v>9.9920000000000009</v>
      </c>
      <c r="K13" s="233">
        <f t="shared" si="0"/>
        <v>0.6429686067741599</v>
      </c>
      <c r="L13" s="226">
        <f t="shared" si="1"/>
        <v>0.64296697178877849</v>
      </c>
    </row>
    <row r="14" spans="1:12" x14ac:dyDescent="0.25">
      <c r="A14" s="232" t="e">
        <f>IF(ITEMS_Tech_E!#REF!="","",ITEMS_Tech_E!#REF!)</f>
        <v>#REF!</v>
      </c>
      <c r="B14" s="385" t="str">
        <f>IF(ITEMS_Tech_E!D14="","",ITEMS_Tech_E!D14)</f>
        <v>*</v>
      </c>
      <c r="C14" s="232" t="str">
        <f>IF(ITEMS_Tech_E!E14="","",ITEMS_Tech_E!E14)</f>
        <v/>
      </c>
      <c r="D14" s="374"/>
      <c r="E14" s="374"/>
      <c r="F14" s="377">
        <f>IFERROR(INDEX('EFF-E_ANTC'!$C$4:$H$47,MATCH($B14,'EFF-E_ANTC'!$A$4:$A$47,0),MATCH(F$5,'EFF-E_ANTC'!$C$3:$H$3,0)),"")</f>
        <v>6.4348339348895098E-2</v>
      </c>
      <c r="G14" s="379">
        <f>IFERROR(INDEX('AFA-E_ANTC'!$J$5:$O$48,MATCH($B14,'AFA-E_ANTC'!$A$5:$A$48,0),MATCH(G$5,'AFA-E_ANTC'!$J$3:$O$3,0)),"")</f>
        <v>0.42532283795650333</v>
      </c>
      <c r="H14" s="379">
        <f>IFERROR(INDEX('AFA-E_ANTC'!$P$5:$P$48,MATCH($B14,'AFA-E_ANTC'!$A$5:$A$48,0)),"")</f>
        <v>0.06</v>
      </c>
      <c r="I14" s="381">
        <f>IFERROR(INDEX('RESID-E_ANTC'!$M$5:$T$48,MATCH($B14,'RESID-E_ANTC'!$A$5:$A$48,0),MATCH(I$5,'RESID-E_ANTC'!$M$3:$T$3,0)),"")</f>
        <v>25.1952522652347</v>
      </c>
      <c r="J14" s="379">
        <f>IFERROR(INDEX(FNRG_ANTC!$I$4:$I$51,MATCH($B14,FNRG_ANTC!$A$4:$A$51,0)),"")</f>
        <v>9.9920000000000009</v>
      </c>
      <c r="K14" s="233">
        <f t="shared" si="0"/>
        <v>0.6429686067741599</v>
      </c>
      <c r="L14" s="226">
        <f t="shared" si="1"/>
        <v>0.64296697178877849</v>
      </c>
    </row>
    <row r="15" spans="1:12" x14ac:dyDescent="0.25">
      <c r="A15" s="232" t="e">
        <f>IF(ITEMS_Tech_E!#REF!="","",ITEMS_Tech_E!#REF!)</f>
        <v>#REF!</v>
      </c>
      <c r="B15" s="385" t="str">
        <f>IF(ITEMS_Tech_E!D15="","",ITEMS_Tech_E!D15)</f>
        <v>*</v>
      </c>
      <c r="C15" s="232" t="str">
        <f>IF(ITEMS_Tech_E!E15="","",ITEMS_Tech_E!E15)</f>
        <v>Private Cars</v>
      </c>
      <c r="D15" s="374"/>
      <c r="E15" s="374"/>
      <c r="F15" s="377">
        <f>IFERROR(INDEX('EFF-E_ANTC'!$C$4:$H$47,MATCH($B15,'EFF-E_ANTC'!$A$4:$A$47,0),MATCH(F$5,'EFF-E_ANTC'!$C$3:$H$3,0)),"")</f>
        <v>6.4348339348895098E-2</v>
      </c>
      <c r="G15" s="379">
        <f>IFERROR(INDEX('AFA-E_ANTC'!$J$5:$O$48,MATCH($B15,'AFA-E_ANTC'!$A$5:$A$48,0),MATCH(G$5,'AFA-E_ANTC'!$J$3:$O$3,0)),"")</f>
        <v>0.42532283795650333</v>
      </c>
      <c r="H15" s="379">
        <f>IFERROR(INDEX('AFA-E_ANTC'!$P$5:$P$48,MATCH($B15,'AFA-E_ANTC'!$A$5:$A$48,0)),"")</f>
        <v>0.06</v>
      </c>
      <c r="I15" s="381">
        <f>IFERROR(INDEX('RESID-E_ANTC'!$M$5:$T$48,MATCH($B15,'RESID-E_ANTC'!$A$5:$A$48,0),MATCH(I$5,'RESID-E_ANTC'!$M$3:$T$3,0)),"")</f>
        <v>25.1952522652347</v>
      </c>
      <c r="J15" s="379">
        <f>IFERROR(INDEX(FNRG_ANTC!$I$4:$I$51,MATCH($B15,FNRG_ANTC!$A$4:$A$51,0)),"")</f>
        <v>9.9920000000000009</v>
      </c>
      <c r="K15" s="233">
        <f t="shared" si="0"/>
        <v>0.6429686067741599</v>
      </c>
      <c r="L15" s="226">
        <f t="shared" si="1"/>
        <v>0.64296697178877849</v>
      </c>
    </row>
    <row r="16" spans="1:12" x14ac:dyDescent="0.25">
      <c r="A16" s="232" t="e">
        <f>IF(ITEMS_Tech_E!#REF!="","",ITEMS_Tech_E!#REF!)</f>
        <v>#REF!</v>
      </c>
      <c r="B16" s="385" t="str">
        <f>IF(ITEMS_Tech_E!D16="","",ITEMS_Tech_E!D16)</f>
        <v>TPPRCARODS-E</v>
      </c>
      <c r="C16" s="232" t="str">
        <f>IF(ITEMS_Tech_E!E16="","",ITEMS_Tech_E!E16)</f>
        <v>Transport Passenger Car Priv.Veh. Oil Diesel-Existing</v>
      </c>
      <c r="D16" s="219" t="s">
        <v>411</v>
      </c>
      <c r="E16" s="219" t="s">
        <v>238</v>
      </c>
      <c r="F16" s="377">
        <f>IFERROR(INDEX('EFF-E_ANTC'!$C$4:$H$47,MATCH($B16,'EFF-E_ANTC'!$A$4:$A$47,0),MATCH(F$5,'EFF-E_ANTC'!$C$3:$H$3,0)),"")</f>
        <v>0.332001778720379</v>
      </c>
      <c r="G16" s="379">
        <f>IFERROR(INDEX('AFA-E_ANTC'!$J$5:$O$48,MATCH($B16,'AFA-E_ANTC'!$A$5:$A$48,0),MATCH(G$5,'AFA-E_ANTC'!$J$3:$O$3,0)),"")</f>
        <v>0.74353526714060447</v>
      </c>
      <c r="H16" s="379">
        <f>IFERROR(INDEX('AFA-E_ANTC'!$P$5:$P$48,MATCH($B16,'AFA-E_ANTC'!$A$5:$A$48,0)),"")</f>
        <v>2.2499999999999999E-2</v>
      </c>
      <c r="I16" s="381">
        <f>IFERROR(INDEX('RESID-E_ANTC'!$M$5:$T$48,MATCH($B16,'RESID-E_ANTC'!$A$5:$A$48,0),MATCH(I$5,'RESID-E_ANTC'!$M$3:$T$3,0)),"")</f>
        <v>387.58646835565298</v>
      </c>
      <c r="J16" s="379">
        <f>IFERROR(INDEX(FNRG_ANTC!$I$4:$I$51,MATCH($B16,FNRG_ANTC!$A$4:$A$51,0)),"")</f>
        <v>19.53</v>
      </c>
      <c r="K16" s="233">
        <f t="shared" si="0"/>
        <v>6.4839947384090024</v>
      </c>
      <c r="L16" s="226">
        <f t="shared" si="1"/>
        <v>6.4841446865003372</v>
      </c>
    </row>
    <row r="17" spans="1:12" x14ac:dyDescent="0.25">
      <c r="A17" s="232" t="e">
        <f>IF(ITEMS_Tech_E!#REF!="","",ITEMS_Tech_E!#REF!)</f>
        <v>#REF!</v>
      </c>
      <c r="B17" s="385" t="str">
        <f>IF(ITEMS_Tech_E!D17="","",ITEMS_Tech_E!D17)</f>
        <v>TPPRCAROGS-E</v>
      </c>
      <c r="C17" s="232" t="str">
        <f>IF(ITEMS_Tech_E!E17="","",ITEMS_Tech_E!E17)</f>
        <v>Transport Passenger Car Priv.Veh. Oil Gasoline-Existing</v>
      </c>
      <c r="D17" s="219" t="s">
        <v>413</v>
      </c>
      <c r="E17" s="219" t="s">
        <v>238</v>
      </c>
      <c r="F17" s="377">
        <f>IFERROR(INDEX('EFF-E_ANTC'!$C$4:$H$47,MATCH($B17,'EFF-E_ANTC'!$A$4:$A$47,0),MATCH(F$5,'EFF-E_ANTC'!$C$3:$H$3,0)),"")</f>
        <v>0.35686173917097103</v>
      </c>
      <c r="G17" s="379">
        <f>IFERROR(INDEX('AFA-E_ANTC'!$J$5:$O$48,MATCH($B17,'AFA-E_ANTC'!$A$5:$A$48,0),MATCH(G$5,'AFA-E_ANTC'!$J$3:$O$3,0)),"")</f>
        <v>0.66163272647026705</v>
      </c>
      <c r="H17" s="379">
        <f>IFERROR(INDEX('AFA-E_ANTC'!$P$5:$P$48,MATCH($B17,'AFA-E_ANTC'!$A$5:$A$48,0)),"")</f>
        <v>1.9099999999999999E-2</v>
      </c>
      <c r="I17" s="381">
        <f>IFERROR(INDEX('RESID-E_ANTC'!$M$5:$T$48,MATCH($B17,'RESID-E_ANTC'!$A$5:$A$48,0),MATCH(I$5,'RESID-E_ANTC'!$M$3:$T$3,0)),"")</f>
        <v>5902.05729724512</v>
      </c>
      <c r="J17" s="379">
        <f>IFERROR(INDEX(FNRG_ANTC!$I$4:$I$51,MATCH($B17,FNRG_ANTC!$A$4:$A$51,0)),"")</f>
        <v>209.00360617320999</v>
      </c>
      <c r="K17" s="233">
        <f t="shared" si="0"/>
        <v>74.585390391976418</v>
      </c>
      <c r="L17" s="226">
        <f t="shared" si="1"/>
        <v>74.58539039197646</v>
      </c>
    </row>
    <row r="18" spans="1:12" x14ac:dyDescent="0.25">
      <c r="A18" s="232" t="e">
        <f>IF(ITEMS_Tech_E!#REF!="","",ITEMS_Tech_E!#REF!)</f>
        <v>#REF!</v>
      </c>
      <c r="B18" s="385" t="str">
        <f>IF(ITEMS_Tech_E!D18="","",ITEMS_Tech_E!D18)</f>
        <v>TPPRCAROGSH-E</v>
      </c>
      <c r="C18" s="232" t="str">
        <f>IF(ITEMS_Tech_E!E18="","",ITEMS_Tech_E!E18)</f>
        <v>Transport Passenger Car Priv.Veh. Oil GasolineHybrid-Existing</v>
      </c>
      <c r="D18" s="219" t="s">
        <v>413</v>
      </c>
      <c r="E18" s="219" t="s">
        <v>238</v>
      </c>
      <c r="F18" s="377">
        <f>IFERROR(INDEX('EFF-E_ANTC'!$C$4:$H$47,MATCH($B18,'EFF-E_ANTC'!$A$4:$A$47,0),MATCH(F$5,'EFF-E_ANTC'!$C$3:$H$3,0)),"")</f>
        <v>0.48634218857827199</v>
      </c>
      <c r="G18" s="379">
        <f>IFERROR(INDEX('AFA-E_ANTC'!$J$5:$O$48,MATCH($B18,'AFA-E_ANTC'!$A$5:$A$48,0),MATCH(G$5,'AFA-E_ANTC'!$J$3:$O$3,0)),"")</f>
        <v>0.82349664056721994</v>
      </c>
      <c r="H18" s="379">
        <f>IFERROR(INDEX('AFA-E_ANTC'!$P$5:$P$48,MATCH($B18,'AFA-E_ANTC'!$A$5:$A$48,0)),"")</f>
        <v>0.02</v>
      </c>
      <c r="I18" s="381">
        <f>IFERROR(INDEX('RESID-E_ANTC'!$M$5:$T$48,MATCH($B18,'RESID-E_ANTC'!$A$5:$A$48,0),MATCH(I$5,'RESID-E_ANTC'!$M$3:$T$3,0)),"")</f>
        <v>4.1935845862025003</v>
      </c>
      <c r="J18" s="379">
        <f>IFERROR(INDEX(FNRG_ANTC!$I$4:$I$51,MATCH($B18,FNRG_ANTC!$A$4:$A$51,0)),"")</f>
        <v>0.14199999999999999</v>
      </c>
      <c r="K18" s="233">
        <f t="shared" si="0"/>
        <v>6.9060590778114619E-2</v>
      </c>
      <c r="L18" s="226">
        <f t="shared" si="1"/>
        <v>6.9068056373444681E-2</v>
      </c>
    </row>
    <row r="19" spans="1:12" x14ac:dyDescent="0.25">
      <c r="A19" s="232" t="e">
        <f>IF(ITEMS_Tech_E!#REF!="","",ITEMS_Tech_E!#REF!)</f>
        <v>#REF!</v>
      </c>
      <c r="B19" s="385" t="str">
        <f>IF(ITEMS_Tech_E!D19="","",ITEMS_Tech_E!D19)</f>
        <v>TPPRCARELC-E</v>
      </c>
      <c r="C19" s="232" t="str">
        <f>IF(ITEMS_Tech_E!E19="","",ITEMS_Tech_E!E19)</f>
        <v>Transport Passenger Car Priv.Veh. Electricity-Existing</v>
      </c>
      <c r="D19" s="219" t="s">
        <v>412</v>
      </c>
      <c r="E19" s="219" t="s">
        <v>238</v>
      </c>
      <c r="F19" s="377">
        <f>IFERROR(INDEX('EFF-E_ANTC'!$C$4:$H$47,MATCH($B19,'EFF-E_ANTC'!$A$4:$A$47,0),MATCH(F$5,'EFF-E_ANTC'!$C$3:$H$3,0)),"")</f>
        <v>1.60037643566239</v>
      </c>
      <c r="G19" s="379">
        <f>IFERROR(INDEX('AFA-E_ANTC'!$J$5:$O$48,MATCH($B19,'AFA-E_ANTC'!$A$5:$A$48,0),MATCH(G$5,'AFA-E_ANTC'!$J$3:$O$3,0)),"")</f>
        <v>0.94119968232220452</v>
      </c>
      <c r="H19" s="379">
        <f>IFERROR(INDEX('AFA-E_ANTC'!$P$5:$P$48,MATCH($B19,'AFA-E_ANTC'!$A$5:$A$48,0)),"")</f>
        <v>2.2499999999999999E-2</v>
      </c>
      <c r="I19" s="381">
        <f>IFERROR(INDEX('RESID-E_ANTC'!$M$5:$T$48,MATCH($B19,'RESID-E_ANTC'!$A$5:$A$48,0),MATCH(I$5,'RESID-E_ANTC'!$M$3:$T$3,0)),"")</f>
        <v>0.33192828574538003</v>
      </c>
      <c r="J19" s="379">
        <f>IFERROR(INDEX(FNRG_ANTC!$I$4:$I$51,MATCH($B19,FNRG_ANTC!$A$4:$A$51,0)),"")</f>
        <v>4.3920000000000001E-3</v>
      </c>
      <c r="K19" s="233">
        <f t="shared" si="0"/>
        <v>7.0288533054292165E-3</v>
      </c>
      <c r="L19" s="226">
        <f t="shared" si="1"/>
        <v>7.0292429346893752E-3</v>
      </c>
    </row>
    <row r="20" spans="1:12" x14ac:dyDescent="0.25">
      <c r="A20" s="232" t="e">
        <f>IF(ITEMS_Tech_E!#REF!="","",ITEMS_Tech_E!#REF!)</f>
        <v>#REF!</v>
      </c>
      <c r="B20" s="385" t="str">
        <f>IF(ITEMS_Tech_E!D20="","",ITEMS_Tech_E!D20)</f>
        <v>*</v>
      </c>
      <c r="C20" s="232" t="str">
        <f>IF(ITEMS_Tech_E!E20="","",ITEMS_Tech_E!E20)</f>
        <v>Transport Passenger Car Priv.Veh. Oil DieselHybrid-Existing</v>
      </c>
      <c r="D20" s="219" t="s">
        <v>411</v>
      </c>
      <c r="E20" s="219" t="s">
        <v>238</v>
      </c>
      <c r="F20" s="377">
        <f>IFERROR(INDEX('EFF-E_ANTC'!$C$4:$H$47,MATCH($B20,'EFF-E_ANTC'!$A$4:$A$47,0),MATCH(F$5,'EFF-E_ANTC'!$C$3:$H$3,0)),"")</f>
        <v>6.4348339348895098E-2</v>
      </c>
      <c r="G20" s="379">
        <f>IFERROR(INDEX('AFA-E_ANTC'!$J$5:$O$48,MATCH($B20,'AFA-E_ANTC'!$A$5:$A$48,0),MATCH(G$5,'AFA-E_ANTC'!$J$3:$O$3,0)),"")</f>
        <v>0.42532283795650333</v>
      </c>
      <c r="H20" s="379">
        <f>IFERROR(INDEX('AFA-E_ANTC'!$P$5:$P$48,MATCH($B20,'AFA-E_ANTC'!$A$5:$A$48,0)),"")</f>
        <v>0.06</v>
      </c>
      <c r="I20" s="381">
        <f>IFERROR(INDEX('RESID-E_ANTC'!$M$5:$T$48,MATCH($B20,'RESID-E_ANTC'!$A$5:$A$48,0),MATCH(I$5,'RESID-E_ANTC'!$M$3:$T$3,0)),"")</f>
        <v>25.1952522652347</v>
      </c>
      <c r="J20" s="379">
        <f>IFERROR(INDEX(FNRG_ANTC!$I$4:$I$51,MATCH($B20,FNRG_ANTC!$A$4:$A$51,0)),"")</f>
        <v>9.9920000000000009</v>
      </c>
      <c r="K20" s="233">
        <f t="shared" si="0"/>
        <v>0.6429686067741599</v>
      </c>
      <c r="L20" s="226">
        <f t="shared" si="1"/>
        <v>0.64296697178877849</v>
      </c>
    </row>
    <row r="21" spans="1:12" x14ac:dyDescent="0.25">
      <c r="A21" s="232" t="e">
        <f>IF(ITEMS_Tech_E!#REF!="","",ITEMS_Tech_E!#REF!)</f>
        <v>#REF!</v>
      </c>
      <c r="B21" s="385" t="str">
        <f>IF(ITEMS_Tech_E!D21="","",ITEMS_Tech_E!D21)</f>
        <v>TPPRCARGAS-E</v>
      </c>
      <c r="C21" s="232" t="str">
        <f>IF(ITEMS_Tech_E!E21="","",ITEMS_Tech_E!E21)</f>
        <v>Transport Passenger Car Priv.Veh. Gas-Existing</v>
      </c>
      <c r="D21" s="219" t="s">
        <v>563</v>
      </c>
      <c r="E21" s="219" t="s">
        <v>238</v>
      </c>
      <c r="F21" s="377">
        <f>IFERROR(INDEX('EFF-E_ANTC'!$C$4:$H$47,MATCH($B21,'EFF-E_ANTC'!$A$4:$A$47,0),MATCH(F$5,'EFF-E_ANTC'!$C$3:$H$3,0)),"")</f>
        <v>1.7604140792286291</v>
      </c>
      <c r="G21" s="379">
        <f>IFERROR(INDEX('AFA-E_ANTC'!$J$5:$O$48,MATCH($B21,'AFA-E_ANTC'!$A$5:$A$48,0),MATCH(G$5,'AFA-E_ANTC'!$J$3:$O$3,0)),"")</f>
        <v>0</v>
      </c>
      <c r="H21" s="379">
        <f>IFERROR(INDEX('AFA-E_ANTC'!$P$5:$P$48,MATCH($B21,'AFA-E_ANTC'!$A$5:$A$48,0)),"")</f>
        <v>2.1358407707781298E-2</v>
      </c>
      <c r="I21" s="381">
        <f>IFERROR(INDEX('RESID-E_ANTC'!$M$5:$T$48,MATCH($B21,'RESID-E_ANTC'!$A$5:$A$48,0),MATCH(I$5,'RESID-E_ANTC'!$M$3:$T$3,0)),"")</f>
        <v>3.3192828574538001E-2</v>
      </c>
      <c r="J21" s="379">
        <f>IFERROR(INDEX(FNRG_ANTC!$I$4:$I$51,MATCH($B21,FNRG_ANTC!$A$4:$A$51,0)),"")</f>
        <v>0</v>
      </c>
      <c r="K21" s="233">
        <f t="shared" si="0"/>
        <v>0</v>
      </c>
      <c r="L21" s="226">
        <f t="shared" si="1"/>
        <v>0</v>
      </c>
    </row>
    <row r="22" spans="1:12" x14ac:dyDescent="0.25">
      <c r="A22" s="232" t="e">
        <f>IF(ITEMS_Tech_E!#REF!="","",ITEMS_Tech_E!#REF!)</f>
        <v>#REF!</v>
      </c>
      <c r="B22" s="385" t="str">
        <f>IF(ITEMS_Tech_E!D22="","",ITEMS_Tech_E!D22)</f>
        <v>*</v>
      </c>
      <c r="C22" s="232" t="str">
        <f>IF(ITEMS_Tech_E!E22="","",ITEMS_Tech_E!E22)</f>
        <v/>
      </c>
      <c r="D22" s="374"/>
      <c r="E22" s="374"/>
      <c r="F22" s="377">
        <f>IFERROR(INDEX('EFF-E_ANTC'!$C$4:$H$47,MATCH($B22,'EFF-E_ANTC'!$A$4:$A$47,0),MATCH(F$5,'EFF-E_ANTC'!$C$3:$H$3,0)),"")</f>
        <v>6.4348339348895098E-2</v>
      </c>
      <c r="G22" s="379">
        <f>IFERROR(INDEX('AFA-E_ANTC'!$J$5:$O$48,MATCH($B22,'AFA-E_ANTC'!$A$5:$A$48,0),MATCH(G$5,'AFA-E_ANTC'!$J$3:$O$3,0)),"")</f>
        <v>0.42532283795650333</v>
      </c>
      <c r="H22" s="379">
        <f>IFERROR(INDEX('AFA-E_ANTC'!$P$5:$P$48,MATCH($B22,'AFA-E_ANTC'!$A$5:$A$48,0)),"")</f>
        <v>0.06</v>
      </c>
      <c r="I22" s="381">
        <f>IFERROR(INDEX('RESID-E_ANTC'!$M$5:$T$48,MATCH($B22,'RESID-E_ANTC'!$A$5:$A$48,0),MATCH(I$5,'RESID-E_ANTC'!$M$3:$T$3,0)),"")</f>
        <v>25.1952522652347</v>
      </c>
      <c r="J22" s="379">
        <f>IFERROR(INDEX(FNRG_ANTC!$I$4:$I$51,MATCH($B22,FNRG_ANTC!$A$4:$A$51,0)),"")</f>
        <v>9.9920000000000009</v>
      </c>
      <c r="K22" s="233">
        <f t="shared" si="0"/>
        <v>0.6429686067741599</v>
      </c>
      <c r="L22" s="226">
        <f t="shared" si="1"/>
        <v>0.64296697178877849</v>
      </c>
    </row>
    <row r="23" spans="1:12" x14ac:dyDescent="0.25">
      <c r="A23" s="232" t="e">
        <f>IF(ITEMS_Tech_E!#REF!="","",ITEMS_Tech_E!#REF!)</f>
        <v>#REF!</v>
      </c>
      <c r="B23" s="385" t="str">
        <f>IF(ITEMS_Tech_E!D23="","",ITEMS_Tech_E!D23)</f>
        <v>*</v>
      </c>
      <c r="C23" s="232" t="str">
        <f>IF(ITEMS_Tech_E!E23="","",ITEMS_Tech_E!E23)</f>
        <v/>
      </c>
      <c r="D23" s="374"/>
      <c r="E23" s="374"/>
      <c r="F23" s="377">
        <f>IFERROR(INDEX('EFF-E_ANTC'!$C$4:$H$47,MATCH($B23,'EFF-E_ANTC'!$A$4:$A$47,0),MATCH(F$5,'EFF-E_ANTC'!$C$3:$H$3,0)),"")</f>
        <v>6.4348339348895098E-2</v>
      </c>
      <c r="G23" s="379">
        <f>IFERROR(INDEX('AFA-E_ANTC'!$J$5:$O$48,MATCH($B23,'AFA-E_ANTC'!$A$5:$A$48,0),MATCH(G$5,'AFA-E_ANTC'!$J$3:$O$3,0)),"")</f>
        <v>0.42532283795650333</v>
      </c>
      <c r="H23" s="379">
        <f>IFERROR(INDEX('AFA-E_ANTC'!$P$5:$P$48,MATCH($B23,'AFA-E_ANTC'!$A$5:$A$48,0)),"")</f>
        <v>0.06</v>
      </c>
      <c r="I23" s="381">
        <f>IFERROR(INDEX('RESID-E_ANTC'!$M$5:$T$48,MATCH($B23,'RESID-E_ANTC'!$A$5:$A$48,0),MATCH(I$5,'RESID-E_ANTC'!$M$3:$T$3,0)),"")</f>
        <v>25.1952522652347</v>
      </c>
      <c r="J23" s="379">
        <f>IFERROR(INDEX(FNRG_ANTC!$I$4:$I$51,MATCH($B23,FNRG_ANTC!$A$4:$A$51,0)),"")</f>
        <v>9.9920000000000009</v>
      </c>
      <c r="K23" s="233">
        <f t="shared" si="0"/>
        <v>0.6429686067741599</v>
      </c>
      <c r="L23" s="226">
        <f t="shared" si="1"/>
        <v>0.64296697178877849</v>
      </c>
    </row>
    <row r="24" spans="1:12" x14ac:dyDescent="0.25">
      <c r="A24" s="232" t="e">
        <f>IF(ITEMS_Tech_E!#REF!="","",ITEMS_Tech_E!#REF!)</f>
        <v>#REF!</v>
      </c>
      <c r="B24" s="385" t="str">
        <f>IF(ITEMS_Tech_E!D24="","",ITEMS_Tech_E!D24)</f>
        <v>*</v>
      </c>
      <c r="C24" s="232" t="str">
        <f>IF(ITEMS_Tech_E!E24="","",ITEMS_Tech_E!E24)</f>
        <v>Private Motorcycles</v>
      </c>
      <c r="D24" s="374"/>
      <c r="E24" s="374"/>
      <c r="F24" s="377">
        <f>IFERROR(INDEX('EFF-E_ANTC'!$C$4:$H$47,MATCH($B24,'EFF-E_ANTC'!$A$4:$A$47,0),MATCH(F$5,'EFF-E_ANTC'!$C$3:$H$3,0)),"")</f>
        <v>6.4348339348895098E-2</v>
      </c>
      <c r="G24" s="379">
        <f>IFERROR(INDEX('AFA-E_ANTC'!$J$5:$O$48,MATCH($B24,'AFA-E_ANTC'!$A$5:$A$48,0),MATCH(G$5,'AFA-E_ANTC'!$J$3:$O$3,0)),"")</f>
        <v>0.42532283795650333</v>
      </c>
      <c r="H24" s="379">
        <f>IFERROR(INDEX('AFA-E_ANTC'!$P$5:$P$48,MATCH($B24,'AFA-E_ANTC'!$A$5:$A$48,0)),"")</f>
        <v>0.06</v>
      </c>
      <c r="I24" s="381">
        <f>IFERROR(INDEX('RESID-E_ANTC'!$M$5:$T$48,MATCH($B24,'RESID-E_ANTC'!$A$5:$A$48,0),MATCH(I$5,'RESID-E_ANTC'!$M$3:$T$3,0)),"")</f>
        <v>25.1952522652347</v>
      </c>
      <c r="J24" s="379">
        <f>IFERROR(INDEX(FNRG_ANTC!$I$4:$I$51,MATCH($B24,FNRG_ANTC!$A$4:$A$51,0)),"")</f>
        <v>9.9920000000000009</v>
      </c>
      <c r="K24" s="233">
        <f t="shared" si="0"/>
        <v>0.6429686067741599</v>
      </c>
      <c r="L24" s="226">
        <f t="shared" si="1"/>
        <v>0.64296697178877849</v>
      </c>
    </row>
    <row r="25" spans="1:12" x14ac:dyDescent="0.25">
      <c r="A25" s="232" t="e">
        <f>IF(ITEMS_Tech_E!#REF!="","",ITEMS_Tech_E!#REF!)</f>
        <v>#REF!</v>
      </c>
      <c r="B25" s="385" t="str">
        <f>IF(ITEMS_Tech_E!D25="","",ITEMS_Tech_E!D25)</f>
        <v>TPPRMOTOGS-E</v>
      </c>
      <c r="C25" s="232" t="str">
        <f>IF(ITEMS_Tech_E!E25="","",ITEMS_Tech_E!E25)</f>
        <v>Transport Passenger Moto Priv.Veh. Oil Gasoline-Existing</v>
      </c>
      <c r="D25" s="219" t="s">
        <v>413</v>
      </c>
      <c r="E25" s="219" t="s">
        <v>289</v>
      </c>
      <c r="F25" s="377">
        <f>IFERROR(INDEX('EFF-E_ANTC'!$C$4:$H$47,MATCH($B25,'EFF-E_ANTC'!$A$4:$A$47,0),MATCH(F$5,'EFF-E_ANTC'!$C$3:$H$3,0)),"")</f>
        <v>0.58484684820594601</v>
      </c>
      <c r="G25" s="379">
        <f>IFERROR(INDEX('AFA-E_ANTC'!$J$5:$O$48,MATCH($B25,'AFA-E_ANTC'!$A$5:$A$48,0),MATCH(G$5,'AFA-E_ANTC'!$J$3:$O$3,0)),"")</f>
        <v>0.7411302039843134</v>
      </c>
      <c r="H25" s="379">
        <f>IFERROR(INDEX('AFA-E_ANTC'!$P$5:$P$48,MATCH($B25,'AFA-E_ANTC'!$A$5:$A$48,0)),"")</f>
        <v>1.4999999999999999E-2</v>
      </c>
      <c r="I25" s="381">
        <f>IFERROR(INDEX('RESID-E_ANTC'!$M$5:$T$48,MATCH($B25,'RESID-E_ANTC'!$A$5:$A$48,0),MATCH(I$5,'RESID-E_ANTC'!$M$3:$T$3,0)),"")</f>
        <v>532.77109028187397</v>
      </c>
      <c r="J25" s="379">
        <f>IFERROR(INDEX(FNRG_ANTC!$I$4:$I$51,MATCH($B25,FNRG_ANTC!$A$4:$A$51,0)),"")</f>
        <v>10.127080654417099</v>
      </c>
      <c r="K25" s="233">
        <f t="shared" si="0"/>
        <v>5.9227912022632498</v>
      </c>
      <c r="L25" s="226">
        <f t="shared" si="1"/>
        <v>5.9227912022632543</v>
      </c>
    </row>
    <row r="26" spans="1:12" x14ac:dyDescent="0.25">
      <c r="A26" s="232" t="e">
        <f>IF(ITEMS_Tech_E!#REF!="","",ITEMS_Tech_E!#REF!)</f>
        <v>#REF!</v>
      </c>
      <c r="B26" s="385" t="str">
        <f>IF(ITEMS_Tech_E!D26="","",ITEMS_Tech_E!D26)</f>
        <v>*</v>
      </c>
      <c r="C26" s="232" t="str">
        <f>IF(ITEMS_Tech_E!E26="","",ITEMS_Tech_E!E26)</f>
        <v/>
      </c>
      <c r="D26" s="374"/>
      <c r="E26" s="374"/>
      <c r="F26" s="377">
        <f>IFERROR(INDEX('EFF-E_ANTC'!$C$4:$H$47,MATCH($B26,'EFF-E_ANTC'!$A$4:$A$47,0),MATCH(F$5,'EFF-E_ANTC'!$C$3:$H$3,0)),"")</f>
        <v>6.4348339348895098E-2</v>
      </c>
      <c r="G26" s="379">
        <f>IFERROR(INDEX('AFA-E_ANTC'!$J$5:$O$48,MATCH($B26,'AFA-E_ANTC'!$A$5:$A$48,0),MATCH(G$5,'AFA-E_ANTC'!$J$3:$O$3,0)),"")</f>
        <v>0.42532283795650333</v>
      </c>
      <c r="H26" s="379">
        <f>IFERROR(INDEX('AFA-E_ANTC'!$P$5:$P$48,MATCH($B26,'AFA-E_ANTC'!$A$5:$A$48,0)),"")</f>
        <v>0.06</v>
      </c>
      <c r="I26" s="381">
        <f>IFERROR(INDEX('RESID-E_ANTC'!$M$5:$T$48,MATCH($B26,'RESID-E_ANTC'!$A$5:$A$48,0),MATCH(I$5,'RESID-E_ANTC'!$M$3:$T$3,0)),"")</f>
        <v>25.1952522652347</v>
      </c>
      <c r="J26" s="379">
        <f>IFERROR(INDEX(FNRG_ANTC!$I$4:$I$51,MATCH($B26,FNRG_ANTC!$A$4:$A$51,0)),"")</f>
        <v>9.9920000000000009</v>
      </c>
      <c r="K26" s="233">
        <f t="shared" si="0"/>
        <v>0.6429686067741599</v>
      </c>
      <c r="L26" s="226">
        <f t="shared" si="1"/>
        <v>0.64296697178877849</v>
      </c>
    </row>
    <row r="27" spans="1:12" x14ac:dyDescent="0.25">
      <c r="A27" s="232" t="e">
        <f>IF(ITEMS_Tech_E!#REF!="","",ITEMS_Tech_E!#REF!)</f>
        <v>#REF!</v>
      </c>
      <c r="B27" s="385" t="str">
        <f>IF(ITEMS_Tech_E!D27="","",ITEMS_Tech_E!D27)</f>
        <v>*</v>
      </c>
      <c r="C27" s="232" t="str">
        <f>IF(ITEMS_Tech_E!E27="","",ITEMS_Tech_E!E27)</f>
        <v/>
      </c>
      <c r="D27" s="374"/>
      <c r="E27" s="374"/>
      <c r="F27" s="377">
        <f>IFERROR(INDEX('EFF-E_ANTC'!$C$4:$H$47,MATCH($B27,'EFF-E_ANTC'!$A$4:$A$47,0),MATCH(F$5,'EFF-E_ANTC'!$C$3:$H$3,0)),"")</f>
        <v>6.4348339348895098E-2</v>
      </c>
      <c r="G27" s="379">
        <f>IFERROR(INDEX('AFA-E_ANTC'!$J$5:$O$48,MATCH($B27,'AFA-E_ANTC'!$A$5:$A$48,0),MATCH(G$5,'AFA-E_ANTC'!$J$3:$O$3,0)),"")</f>
        <v>0.42532283795650333</v>
      </c>
      <c r="H27" s="379">
        <f>IFERROR(INDEX('AFA-E_ANTC'!$P$5:$P$48,MATCH($B27,'AFA-E_ANTC'!$A$5:$A$48,0)),"")</f>
        <v>0.06</v>
      </c>
      <c r="I27" s="381">
        <f>IFERROR(INDEX('RESID-E_ANTC'!$M$5:$T$48,MATCH($B27,'RESID-E_ANTC'!$A$5:$A$48,0),MATCH(I$5,'RESID-E_ANTC'!$M$3:$T$3,0)),"")</f>
        <v>25.1952522652347</v>
      </c>
      <c r="J27" s="379">
        <f>IFERROR(INDEX(FNRG_ANTC!$I$4:$I$51,MATCH($B27,FNRG_ANTC!$A$4:$A$51,0)),"")</f>
        <v>9.9920000000000009</v>
      </c>
      <c r="K27" s="233">
        <f t="shared" si="0"/>
        <v>0.6429686067741599</v>
      </c>
      <c r="L27" s="226">
        <f t="shared" si="1"/>
        <v>0.64296697178877849</v>
      </c>
    </row>
    <row r="28" spans="1:12" x14ac:dyDescent="0.25">
      <c r="A28" s="232" t="e">
        <f>IF(ITEMS_Tech_E!#REF!="","",ITEMS_Tech_E!#REF!)</f>
        <v>#REF!</v>
      </c>
      <c r="B28" s="385" t="str">
        <f>IF(ITEMS_Tech_E!D28="","",ITEMS_Tech_E!D28)</f>
        <v>*</v>
      </c>
      <c r="C28" s="232" t="str">
        <f>IF(ITEMS_Tech_E!E28="","",ITEMS_Tech_E!E28)</f>
        <v>Public Buses</v>
      </c>
      <c r="D28" s="374"/>
      <c r="E28" s="374"/>
      <c r="F28" s="377">
        <f>IFERROR(INDEX('EFF-E_ANTC'!$C$4:$H$47,MATCH($B28,'EFF-E_ANTC'!$A$4:$A$47,0),MATCH(F$5,'EFF-E_ANTC'!$C$3:$H$3,0)),"")</f>
        <v>6.4348339348895098E-2</v>
      </c>
      <c r="G28" s="379">
        <f>IFERROR(INDEX('AFA-E_ANTC'!$J$5:$O$48,MATCH($B28,'AFA-E_ANTC'!$A$5:$A$48,0),MATCH(G$5,'AFA-E_ANTC'!$J$3:$O$3,0)),"")</f>
        <v>0.42532283795650333</v>
      </c>
      <c r="H28" s="379">
        <f>IFERROR(INDEX('AFA-E_ANTC'!$P$5:$P$48,MATCH($B28,'AFA-E_ANTC'!$A$5:$A$48,0)),"")</f>
        <v>0.06</v>
      </c>
      <c r="I28" s="381">
        <f>IFERROR(INDEX('RESID-E_ANTC'!$M$5:$T$48,MATCH($B28,'RESID-E_ANTC'!$A$5:$A$48,0),MATCH(I$5,'RESID-E_ANTC'!$M$3:$T$3,0)),"")</f>
        <v>25.1952522652347</v>
      </c>
      <c r="J28" s="379">
        <f>IFERROR(INDEX(FNRG_ANTC!$I$4:$I$51,MATCH($B28,FNRG_ANTC!$A$4:$A$51,0)),"")</f>
        <v>9.9920000000000009</v>
      </c>
      <c r="K28" s="233">
        <f t="shared" si="0"/>
        <v>0.6429686067741599</v>
      </c>
      <c r="L28" s="226">
        <f t="shared" si="1"/>
        <v>0.64296697178877849</v>
      </c>
    </row>
    <row r="29" spans="1:12" x14ac:dyDescent="0.25">
      <c r="A29" s="232" t="e">
        <f>IF(ITEMS_Tech_E!#REF!="","",ITEMS_Tech_E!#REF!)</f>
        <v>#REF!</v>
      </c>
      <c r="B29" s="385" t="str">
        <f>IF(ITEMS_Tech_E!D29="","",ITEMS_Tech_E!D29)</f>
        <v>TPPUBUSODS-E</v>
      </c>
      <c r="C29" s="232" t="str">
        <f>IF(ITEMS_Tech_E!E29="","",ITEMS_Tech_E!E29)</f>
        <v>Transport Passenger Bus Oil Diesel-Existing</v>
      </c>
      <c r="D29" s="219" t="s">
        <v>411</v>
      </c>
      <c r="E29" s="219" t="s">
        <v>235</v>
      </c>
      <c r="F29" s="377">
        <f>IFERROR(INDEX('EFF-E_ANTC'!$C$4:$H$47,MATCH($B29,'EFF-E_ANTC'!$A$4:$A$47,0),MATCH(F$5,'EFF-E_ANTC'!$C$3:$H$3,0)),"")</f>
        <v>6.4348339348895098E-2</v>
      </c>
      <c r="G29" s="379">
        <f>IFERROR(INDEX('AFA-E_ANTC'!$J$5:$O$48,MATCH($B29,'AFA-E_ANTC'!$A$5:$A$48,0),MATCH(G$5,'AFA-E_ANTC'!$J$3:$O$3,0)),"")</f>
        <v>0.42532283795650333</v>
      </c>
      <c r="H29" s="379">
        <f>IFERROR(INDEX('AFA-E_ANTC'!$P$5:$P$48,MATCH($B29,'AFA-E_ANTC'!$A$5:$A$48,0)),"")</f>
        <v>0.06</v>
      </c>
      <c r="I29" s="381">
        <f>IFERROR(INDEX('RESID-E_ANTC'!$M$5:$T$48,MATCH($B29,'RESID-E_ANTC'!$A$5:$A$48,0),MATCH(I$5,'RESID-E_ANTC'!$M$3:$T$3,0)),"")</f>
        <v>25.1952522652347</v>
      </c>
      <c r="J29" s="379">
        <f>IFERROR(INDEX(FNRG_ANTC!$I$4:$I$51,MATCH($B29,FNRG_ANTC!$A$4:$A$51,0)),"")</f>
        <v>9.9920000000000009</v>
      </c>
      <c r="K29" s="233">
        <f t="shared" si="0"/>
        <v>0.6429686067741599</v>
      </c>
      <c r="L29" s="226">
        <f t="shared" si="1"/>
        <v>0.64296697178877849</v>
      </c>
    </row>
    <row r="30" spans="1:12" x14ac:dyDescent="0.25">
      <c r="A30" s="232" t="e">
        <f>IF(ITEMS_Tech_E!#REF!="","",ITEMS_Tech_E!#REF!)</f>
        <v>#REF!</v>
      </c>
      <c r="B30" s="385" t="str">
        <f>IF(ITEMS_Tech_E!D30="","",ITEMS_Tech_E!D30)</f>
        <v>TPPUBUSGAS-E</v>
      </c>
      <c r="C30" s="232" t="str">
        <f>IF(ITEMS_Tech_E!E30="","",ITEMS_Tech_E!E30)</f>
        <v>Transport Passenger Bus Gas-Existing</v>
      </c>
      <c r="D30" s="219" t="s">
        <v>563</v>
      </c>
      <c r="E30" s="219" t="s">
        <v>235</v>
      </c>
      <c r="F30" s="377">
        <f>IFERROR(INDEX('EFF-E_ANTC'!$C$4:$H$47,MATCH($B30,'EFF-E_ANTC'!$A$4:$A$47,0),MATCH(F$5,'EFF-E_ANTC'!$C$3:$H$3,0)),"")</f>
        <v>6.1451225052252298E-2</v>
      </c>
      <c r="G30" s="379">
        <f>IFERROR(INDEX('AFA-E_ANTC'!$J$5:$O$48,MATCH($B30,'AFA-E_ANTC'!$A$5:$A$48,0),MATCH(G$5,'AFA-E_ANTC'!$J$3:$O$3,0)),"")</f>
        <v>0</v>
      </c>
      <c r="H30" s="379">
        <f>IFERROR(INDEX('AFA-E_ANTC'!$P$5:$P$48,MATCH($B30,'AFA-E_ANTC'!$A$5:$A$48,0)),"")</f>
        <v>5.3296583187381896E-2</v>
      </c>
      <c r="I30" s="381">
        <f>IFERROR(INDEX('RESID-E_ANTC'!$M$5:$T$48,MATCH($B30,'RESID-E_ANTC'!$A$5:$A$48,0),MATCH(I$5,'RESID-E_ANTC'!$M$3:$T$3,0)),"")</f>
        <v>0.25195252265234702</v>
      </c>
      <c r="J30" s="379">
        <f>IFERROR(INDEX(FNRG_ANTC!$I$4:$I$51,MATCH($B30,FNRG_ANTC!$A$4:$A$51,0)),"")</f>
        <v>0</v>
      </c>
      <c r="K30" s="233">
        <f t="shared" si="0"/>
        <v>0</v>
      </c>
      <c r="L30" s="226">
        <f t="shared" si="1"/>
        <v>0</v>
      </c>
    </row>
    <row r="31" spans="1:12" x14ac:dyDescent="0.25">
      <c r="A31" s="232" t="e">
        <f>IF(ITEMS_Tech_E!#REF!="","",ITEMS_Tech_E!#REF!)</f>
        <v>#REF!</v>
      </c>
      <c r="B31" s="385" t="str">
        <f>IF(ITEMS_Tech_E!D31="","",ITEMS_Tech_E!D31)</f>
        <v>*</v>
      </c>
      <c r="C31" s="232" t="str">
        <f>IF(ITEMS_Tech_E!E31="","",ITEMS_Tech_E!E31)</f>
        <v/>
      </c>
      <c r="D31" s="374"/>
      <c r="E31" s="374"/>
      <c r="F31" s="377">
        <f>IFERROR(INDEX('EFF-E_ANTC'!$C$4:$H$47,MATCH($B31,'EFF-E_ANTC'!$A$4:$A$47,0),MATCH(F$5,'EFF-E_ANTC'!$C$3:$H$3,0)),"")</f>
        <v>6.4348339348895098E-2</v>
      </c>
      <c r="G31" s="379">
        <f>IFERROR(INDEX('AFA-E_ANTC'!$J$5:$O$48,MATCH($B31,'AFA-E_ANTC'!$A$5:$A$48,0),MATCH(G$5,'AFA-E_ANTC'!$J$3:$O$3,0)),"")</f>
        <v>0.42532283795650333</v>
      </c>
      <c r="H31" s="379">
        <f>IFERROR(INDEX('AFA-E_ANTC'!$P$5:$P$48,MATCH($B31,'AFA-E_ANTC'!$A$5:$A$48,0)),"")</f>
        <v>0.06</v>
      </c>
      <c r="I31" s="381">
        <f>IFERROR(INDEX('RESID-E_ANTC'!$M$5:$T$48,MATCH($B31,'RESID-E_ANTC'!$A$5:$A$48,0),MATCH(I$5,'RESID-E_ANTC'!$M$3:$T$3,0)),"")</f>
        <v>25.1952522652347</v>
      </c>
      <c r="J31" s="379">
        <f>IFERROR(INDEX(FNRG_ANTC!$I$4:$I$51,MATCH($B31,FNRG_ANTC!$A$4:$A$51,0)),"")</f>
        <v>9.9920000000000009</v>
      </c>
      <c r="K31" s="233">
        <f t="shared" si="0"/>
        <v>0.6429686067741599</v>
      </c>
      <c r="L31" s="226">
        <f t="shared" si="1"/>
        <v>0.64296697178877849</v>
      </c>
    </row>
    <row r="32" spans="1:12" x14ac:dyDescent="0.25">
      <c r="A32" s="232" t="e">
        <f>IF(ITEMS_Tech_E!#REF!="","",ITEMS_Tech_E!#REF!)</f>
        <v>#REF!</v>
      </c>
      <c r="B32" s="385" t="str">
        <f>IF(ITEMS_Tech_E!D32="","",ITEMS_Tech_E!D32)</f>
        <v>*</v>
      </c>
      <c r="C32" s="232" t="str">
        <f>IF(ITEMS_Tech_E!E32="","",ITEMS_Tech_E!E32)</f>
        <v>Public Minibus Taxis</v>
      </c>
      <c r="D32" s="374"/>
      <c r="E32" s="374"/>
      <c r="F32" s="377">
        <f>IFERROR(INDEX('EFF-E_ANTC'!$C$4:$H$47,MATCH($B32,'EFF-E_ANTC'!$A$4:$A$47,0),MATCH(F$5,'EFF-E_ANTC'!$C$3:$H$3,0)),"")</f>
        <v>6.4348339348895098E-2</v>
      </c>
      <c r="G32" s="379">
        <f>IFERROR(INDEX('AFA-E_ANTC'!$J$5:$O$48,MATCH($B32,'AFA-E_ANTC'!$A$5:$A$48,0),MATCH(G$5,'AFA-E_ANTC'!$J$3:$O$3,0)),"")</f>
        <v>0.42532283795650333</v>
      </c>
      <c r="H32" s="379">
        <f>IFERROR(INDEX('AFA-E_ANTC'!$P$5:$P$48,MATCH($B32,'AFA-E_ANTC'!$A$5:$A$48,0)),"")</f>
        <v>0.06</v>
      </c>
      <c r="I32" s="381">
        <f>IFERROR(INDEX('RESID-E_ANTC'!$M$5:$T$48,MATCH($B32,'RESID-E_ANTC'!$A$5:$A$48,0),MATCH(I$5,'RESID-E_ANTC'!$M$3:$T$3,0)),"")</f>
        <v>25.1952522652347</v>
      </c>
      <c r="J32" s="379">
        <f>IFERROR(INDEX(FNRG_ANTC!$I$4:$I$51,MATCH($B32,FNRG_ANTC!$A$4:$A$51,0)),"")</f>
        <v>9.9920000000000009</v>
      </c>
      <c r="K32" s="233">
        <f t="shared" si="0"/>
        <v>0.6429686067741599</v>
      </c>
      <c r="L32" s="226">
        <f t="shared" si="1"/>
        <v>0.64296697178877849</v>
      </c>
    </row>
    <row r="33" spans="1:12" x14ac:dyDescent="0.25">
      <c r="A33" s="232" t="e">
        <f>IF(ITEMS_Tech_E!#REF!="","",ITEMS_Tech_E!#REF!)</f>
        <v>#REF!</v>
      </c>
      <c r="B33" s="385" t="str">
        <f>IF(ITEMS_Tech_E!D33="","",ITEMS_Tech_E!D33)</f>
        <v>TPPUMBTODS-E</v>
      </c>
      <c r="C33" s="232" t="str">
        <f>IF(ITEMS_Tech_E!E33="","",ITEMS_Tech_E!E33)</f>
        <v>Transport Passenger Minibus Oil Diesel-Existing</v>
      </c>
      <c r="D33" s="219" t="s">
        <v>411</v>
      </c>
      <c r="E33" s="219" t="s">
        <v>279</v>
      </c>
      <c r="F33" s="377">
        <f>IFERROR(INDEX('EFF-E_ANTC'!$C$4:$H$47,MATCH($B33,'EFF-E_ANTC'!$A$4:$A$47,0),MATCH(F$5,'EFF-E_ANTC'!$C$3:$H$3,0)),"")</f>
        <v>0.23693697386285401</v>
      </c>
      <c r="G33" s="379">
        <f>IFERROR(INDEX('AFA-E_ANTC'!$J$5:$O$48,MATCH($B33,'AFA-E_ANTC'!$A$5:$A$48,0),MATCH(G$5,'AFA-E_ANTC'!$J$3:$O$3,0)),"")</f>
        <v>0.87237008971306285</v>
      </c>
      <c r="H33" s="379">
        <f>IFERROR(INDEX('AFA-E_ANTC'!$P$5:$P$48,MATCH($B33,'AFA-E_ANTC'!$A$5:$A$48,0)),"")</f>
        <v>3.4999999999999996E-2</v>
      </c>
      <c r="I33" s="381">
        <f>IFERROR(INDEX('RESID-E_ANTC'!$M$5:$T$48,MATCH($B33,'RESID-E_ANTC'!$A$5:$A$48,0),MATCH(I$5,'RESID-E_ANTC'!$M$3:$T$3,0)),"")</f>
        <v>69.8415661662536</v>
      </c>
      <c r="J33" s="379">
        <f>IFERROR(INDEX(FNRG_ANTC!$I$4:$I$51,MATCH($B33,FNRG_ANTC!$A$4:$A$51,0)),"")</f>
        <v>9</v>
      </c>
      <c r="K33" s="233">
        <f t="shared" si="0"/>
        <v>2.132432764765686</v>
      </c>
      <c r="L33" s="226">
        <f t="shared" si="1"/>
        <v>2.1324692669754413</v>
      </c>
    </row>
    <row r="34" spans="1:12" x14ac:dyDescent="0.25">
      <c r="A34" s="232" t="e">
        <f>IF(ITEMS_Tech_E!#REF!="","",ITEMS_Tech_E!#REF!)</f>
        <v>#REF!</v>
      </c>
      <c r="B34" s="385" t="str">
        <f>IF(ITEMS_Tech_E!D34="","",ITEMS_Tech_E!D34)</f>
        <v>TPPUMBTOGS-E</v>
      </c>
      <c r="C34" s="232" t="str">
        <f>IF(ITEMS_Tech_E!E34="","",ITEMS_Tech_E!E34)</f>
        <v>Transport Passenger Minibus Oil Gasoline-Existing</v>
      </c>
      <c r="D34" s="219" t="s">
        <v>413</v>
      </c>
      <c r="E34" s="219" t="s">
        <v>279</v>
      </c>
      <c r="F34" s="377">
        <f>IFERROR(INDEX('EFF-E_ANTC'!$C$4:$H$47,MATCH($B34,'EFF-E_ANTC'!$A$4:$A$47,0),MATCH(F$5,'EFF-E_ANTC'!$C$3:$H$3,0)),"")</f>
        <v>0.2007607462921</v>
      </c>
      <c r="G34" s="379">
        <f>IFERROR(INDEX('AFA-E_ANTC'!$J$5:$O$48,MATCH($B34,'AFA-E_ANTC'!$A$5:$A$48,0),MATCH(G$5,'AFA-E_ANTC'!$J$3:$O$3,0)),"")</f>
        <v>0.57175281338925998</v>
      </c>
      <c r="H34" s="379">
        <f>IFERROR(INDEX('AFA-E_ANTC'!$P$5:$P$48,MATCH($B34,'AFA-E_ANTC'!$A$5:$A$48,0)),"")</f>
        <v>3.4999999999999996E-2</v>
      </c>
      <c r="I34" s="381">
        <f>IFERROR(INDEX('RESID-E_ANTC'!$M$5:$T$48,MATCH($B34,'RESID-E_ANTC'!$A$5:$A$48,0),MATCH(I$5,'RESID-E_ANTC'!$M$3:$T$3,0)),"")</f>
        <v>253.885003628612</v>
      </c>
      <c r="J34" s="379">
        <f>IFERROR(INDEX(FNRG_ANTC!$I$4:$I$51,MATCH($B34,FNRG_ANTC!$A$4:$A$51,0)),"")</f>
        <v>25.31</v>
      </c>
      <c r="K34" s="233">
        <f t="shared" si="0"/>
        <v>5.0812544886530508</v>
      </c>
      <c r="L34" s="226">
        <f t="shared" si="1"/>
        <v>5.0805812785700475</v>
      </c>
    </row>
    <row r="35" spans="1:12" x14ac:dyDescent="0.25">
      <c r="A35" s="232" t="e">
        <f>IF(ITEMS_Tech_E!#REF!="","",ITEMS_Tech_E!#REF!)</f>
        <v>#REF!</v>
      </c>
      <c r="B35" s="385" t="str">
        <f>IF(ITEMS_Tech_E!D35="","",ITEMS_Tech_E!D35)</f>
        <v>TPPUMBTGAS-E</v>
      </c>
      <c r="C35" s="232" t="str">
        <f>IF(ITEMS_Tech_E!E35="","",ITEMS_Tech_E!E35)</f>
        <v>Transport Passenger Minibus Gas-Existing</v>
      </c>
      <c r="D35" s="219" t="s">
        <v>563</v>
      </c>
      <c r="E35" s="219" t="s">
        <v>279</v>
      </c>
      <c r="F35" s="377">
        <f>IFERROR(INDEX('EFF-E_ANTC'!$C$4:$H$47,MATCH($B35,'EFF-E_ANTC'!$A$4:$A$47,0),MATCH(F$5,'EFF-E_ANTC'!$C$3:$H$3,0)),"")</f>
        <v>0.2119495613148375</v>
      </c>
      <c r="G35" s="379">
        <f>IFERROR(INDEX('AFA-E_ANTC'!$J$5:$O$48,MATCH($B35,'AFA-E_ANTC'!$A$5:$A$48,0),MATCH(G$5,'AFA-E_ANTC'!$J$3:$O$3,0)),"")</f>
        <v>0</v>
      </c>
      <c r="H35" s="379">
        <f>IFERROR(INDEX('AFA-E_ANTC'!$P$5:$P$48,MATCH($B35,'AFA-E_ANTC'!$A$5:$A$48,0)),"")</f>
        <v>2.0965008962084201E-2</v>
      </c>
      <c r="I35" s="381">
        <f>IFERROR(INDEX('RESID-E_ANTC'!$M$5:$T$48,MATCH($B35,'RESID-E_ANTC'!$A$5:$A$48,0),MATCH(I$5,'RESID-E_ANTC'!$M$3:$T$3,0)),"")</f>
        <v>2.5388500362861199</v>
      </c>
      <c r="J35" s="379">
        <f>IFERROR(INDEX(FNRG_ANTC!$I$4:$I$51,MATCH($B35,FNRG_ANTC!$A$4:$A$51,0)),"")</f>
        <v>0</v>
      </c>
      <c r="K35" s="233">
        <f t="shared" si="0"/>
        <v>0</v>
      </c>
      <c r="L35" s="226">
        <f t="shared" si="1"/>
        <v>0</v>
      </c>
    </row>
    <row r="36" spans="1:12" x14ac:dyDescent="0.25">
      <c r="A36" s="232" t="e">
        <f>IF(ITEMS_Tech_E!#REF!="","",ITEMS_Tech_E!#REF!)</f>
        <v>#REF!</v>
      </c>
      <c r="B36" s="385" t="str">
        <f>IF(ITEMS_Tech_E!D36="","",ITEMS_Tech_E!D36)</f>
        <v>*</v>
      </c>
      <c r="C36" s="232" t="str">
        <f>IF(ITEMS_Tech_E!E36="","",ITEMS_Tech_E!E36)</f>
        <v/>
      </c>
      <c r="D36" s="374"/>
      <c r="E36" s="374"/>
      <c r="F36" s="377">
        <f>IFERROR(INDEX('EFF-E_ANTC'!$C$4:$H$47,MATCH($B36,'EFF-E_ANTC'!$A$4:$A$47,0),MATCH(F$5,'EFF-E_ANTC'!$C$3:$H$3,0)),"")</f>
        <v>6.4348339348895098E-2</v>
      </c>
      <c r="G36" s="379">
        <f>IFERROR(INDEX('AFA-E_ANTC'!$J$5:$O$48,MATCH($B36,'AFA-E_ANTC'!$A$5:$A$48,0),MATCH(G$5,'AFA-E_ANTC'!$J$3:$O$3,0)),"")</f>
        <v>0.42532283795650333</v>
      </c>
      <c r="H36" s="379">
        <f>IFERROR(INDEX('AFA-E_ANTC'!$P$5:$P$48,MATCH($B36,'AFA-E_ANTC'!$A$5:$A$48,0)),"")</f>
        <v>0.06</v>
      </c>
      <c r="I36" s="381">
        <f>IFERROR(INDEX('RESID-E_ANTC'!$M$5:$T$48,MATCH($B36,'RESID-E_ANTC'!$A$5:$A$48,0),MATCH(I$5,'RESID-E_ANTC'!$M$3:$T$3,0)),"")</f>
        <v>25.1952522652347</v>
      </c>
      <c r="J36" s="379">
        <f>IFERROR(INDEX(FNRG_ANTC!$I$4:$I$51,MATCH($B36,FNRG_ANTC!$A$4:$A$51,0)),"")</f>
        <v>9.9920000000000009</v>
      </c>
      <c r="K36" s="233">
        <f t="shared" si="0"/>
        <v>0.6429686067741599</v>
      </c>
      <c r="L36" s="226">
        <f t="shared" si="1"/>
        <v>0.64296697178877849</v>
      </c>
    </row>
    <row r="37" spans="1:12" x14ac:dyDescent="0.25">
      <c r="A37" s="232" t="e">
        <f>IF(ITEMS_Tech_E!#REF!="","",ITEMS_Tech_E!#REF!)</f>
        <v>#REF!</v>
      </c>
      <c r="B37" s="385" t="str">
        <f>IF(ITEMS_Tech_E!D37="","",ITEMS_Tech_E!D37)</f>
        <v>*</v>
      </c>
      <c r="C37" s="232" t="str">
        <f>IF(ITEMS_Tech_E!E37="","",ITEMS_Tech_E!E37)</f>
        <v/>
      </c>
      <c r="D37" s="374"/>
      <c r="E37" s="374"/>
      <c r="F37" s="377">
        <f>IFERROR(INDEX('EFF-E_ANTC'!$C$4:$H$47,MATCH($B37,'EFF-E_ANTC'!$A$4:$A$47,0),MATCH(F$5,'EFF-E_ANTC'!$C$3:$H$3,0)),"")</f>
        <v>6.4348339348895098E-2</v>
      </c>
      <c r="G37" s="379">
        <f>IFERROR(INDEX('AFA-E_ANTC'!$J$5:$O$48,MATCH($B37,'AFA-E_ANTC'!$A$5:$A$48,0),MATCH(G$5,'AFA-E_ANTC'!$J$3:$O$3,0)),"")</f>
        <v>0.42532283795650333</v>
      </c>
      <c r="H37" s="379">
        <f>IFERROR(INDEX('AFA-E_ANTC'!$P$5:$P$48,MATCH($B37,'AFA-E_ANTC'!$A$5:$A$48,0)),"")</f>
        <v>0.06</v>
      </c>
      <c r="I37" s="381">
        <f>IFERROR(INDEX('RESID-E_ANTC'!$M$5:$T$48,MATCH($B37,'RESID-E_ANTC'!$A$5:$A$48,0),MATCH(I$5,'RESID-E_ANTC'!$M$3:$T$3,0)),"")</f>
        <v>25.1952522652347</v>
      </c>
      <c r="J37" s="379">
        <f>IFERROR(INDEX(FNRG_ANTC!$I$4:$I$51,MATCH($B37,FNRG_ANTC!$A$4:$A$51,0)),"")</f>
        <v>9.9920000000000009</v>
      </c>
      <c r="K37" s="233">
        <f t="shared" si="0"/>
        <v>0.6429686067741599</v>
      </c>
      <c r="L37" s="226">
        <f t="shared" si="1"/>
        <v>0.64296697178877849</v>
      </c>
    </row>
    <row r="38" spans="1:12" x14ac:dyDescent="0.25">
      <c r="A38" s="232" t="e">
        <f>IF(ITEMS_Tech_E!#REF!="","",ITEMS_Tech_E!#REF!)</f>
        <v>#REF!</v>
      </c>
      <c r="B38" s="385" t="str">
        <f>IF(ITEMS_Tech_E!D38="","",ITEMS_Tech_E!D38)</f>
        <v>*</v>
      </c>
      <c r="C38" s="232" t="str">
        <f>IF(ITEMS_Tech_E!E38="","",ITEMS_Tech_E!E38)</f>
        <v>Public Metrorail</v>
      </c>
      <c r="D38" s="374"/>
      <c r="E38" s="374"/>
      <c r="F38" s="377">
        <f>IFERROR(INDEX('EFF-E_ANTC'!$C$4:$H$47,MATCH($B38,'EFF-E_ANTC'!$A$4:$A$47,0),MATCH(F$5,'EFF-E_ANTC'!$C$3:$H$3,0)),"")</f>
        <v>6.4348339348895098E-2</v>
      </c>
      <c r="G38" s="379">
        <f>IFERROR(INDEX('AFA-E_ANTC'!$J$5:$O$48,MATCH($B38,'AFA-E_ANTC'!$A$5:$A$48,0),MATCH(G$5,'AFA-E_ANTC'!$J$3:$O$3,0)),"")</f>
        <v>0.42532283795650333</v>
      </c>
      <c r="H38" s="379">
        <f>IFERROR(INDEX('AFA-E_ANTC'!$P$5:$P$48,MATCH($B38,'AFA-E_ANTC'!$A$5:$A$48,0)),"")</f>
        <v>0.06</v>
      </c>
      <c r="I38" s="381">
        <f>IFERROR(INDEX('RESID-E_ANTC'!$M$5:$T$48,MATCH($B38,'RESID-E_ANTC'!$A$5:$A$48,0),MATCH(I$5,'RESID-E_ANTC'!$M$3:$T$3,0)),"")</f>
        <v>25.1952522652347</v>
      </c>
      <c r="J38" s="379">
        <f>IFERROR(INDEX(FNRG_ANTC!$I$4:$I$51,MATCH($B38,FNRG_ANTC!$A$4:$A$51,0)),"")</f>
        <v>9.9920000000000009</v>
      </c>
      <c r="K38" s="233">
        <f t="shared" si="0"/>
        <v>0.6429686067741599</v>
      </c>
      <c r="L38" s="226">
        <f t="shared" si="1"/>
        <v>0.64296697178877849</v>
      </c>
    </row>
    <row r="39" spans="1:12" x14ac:dyDescent="0.25">
      <c r="A39" s="232" t="e">
        <f>IF(ITEMS_Tech_E!#REF!="","",ITEMS_Tech_E!#REF!)</f>
        <v>#REF!</v>
      </c>
      <c r="B39" s="385" t="str">
        <f>IF(ITEMS_Tech_E!D39="","",ITEMS_Tech_E!D39)</f>
        <v>TPPUMERELC-E</v>
      </c>
      <c r="C39" s="232" t="str">
        <f>IF(ITEMS_Tech_E!E39="","",ITEMS_Tech_E!E39)</f>
        <v>Transport Passenger Metro Rail Electricity-Existing</v>
      </c>
      <c r="D39" s="219" t="s">
        <v>412</v>
      </c>
      <c r="E39" s="219" t="s">
        <v>426</v>
      </c>
      <c r="F39" s="377">
        <f>IFERROR(INDEX('EFF-E_ANTC'!$C$4:$H$47,MATCH($B39,'EFF-E_ANTC'!$A$4:$A$47,0),MATCH(F$5,'EFF-E_ANTC'!$C$3:$H$3,0)),"")</f>
        <v>3.858057479967961</v>
      </c>
      <c r="G39" s="379">
        <f>IFERROR(INDEX('AFA-E_ANTC'!$J$5:$O$48,MATCH($B39,'AFA-E_ANTC'!$A$5:$A$48,0),MATCH(G$5,'AFA-E_ANTC'!$J$3:$O$3,0)),"")</f>
        <v>1</v>
      </c>
      <c r="H39" s="379">
        <f>IFERROR(INDEX('AFA-E_ANTC'!$P$5:$P$48,MATCH($B39,'AFA-E_ANTC'!$A$5:$A$48,0)),"")</f>
        <v>1</v>
      </c>
      <c r="I39" s="381">
        <f>IFERROR(INDEX('RESID-E_ANTC'!$M$5:$T$48,MATCH($B39,'RESID-E_ANTC'!$A$5:$A$48,0),MATCH(I$5,'RESID-E_ANTC'!$M$3:$T$3,0)),"")</f>
        <v>15.8</v>
      </c>
      <c r="J39" s="379">
        <f>IFERROR(INDEX(FNRG_ANTC!$I$4:$I$51,MATCH($B39,FNRG_ANTC!$A$4:$A$51,0)),"")</f>
        <v>2.2562732159999994</v>
      </c>
      <c r="K39" s="233">
        <f t="shared" si="0"/>
        <v>8.7048317578401644</v>
      </c>
      <c r="L39" s="226">
        <f t="shared" si="1"/>
        <v>15.8</v>
      </c>
    </row>
    <row r="40" spans="1:12" x14ac:dyDescent="0.25">
      <c r="A40" s="232" t="e">
        <f>IF(ITEMS_Tech_E!#REF!="","",ITEMS_Tech_E!#REF!)</f>
        <v>#REF!</v>
      </c>
      <c r="B40" s="385" t="str">
        <f>IF(ITEMS_Tech_E!D40="","",ITEMS_Tech_E!D40)</f>
        <v>*</v>
      </c>
      <c r="C40" s="232" t="str">
        <f>IF(ITEMS_Tech_E!E40="","",ITEMS_Tech_E!E40)</f>
        <v/>
      </c>
      <c r="D40" s="374"/>
      <c r="E40" s="374"/>
      <c r="F40" s="377">
        <f>IFERROR(INDEX('EFF-E_ANTC'!$C$4:$H$47,MATCH($B40,'EFF-E_ANTC'!$A$4:$A$47,0),MATCH(F$5,'EFF-E_ANTC'!$C$3:$H$3,0)),"")</f>
        <v>6.4348339348895098E-2</v>
      </c>
      <c r="G40" s="379">
        <f>IFERROR(INDEX('AFA-E_ANTC'!$J$5:$O$48,MATCH($B40,'AFA-E_ANTC'!$A$5:$A$48,0),MATCH(G$5,'AFA-E_ANTC'!$J$3:$O$3,0)),"")</f>
        <v>0.42532283795650333</v>
      </c>
      <c r="H40" s="379">
        <f>IFERROR(INDEX('AFA-E_ANTC'!$P$5:$P$48,MATCH($B40,'AFA-E_ANTC'!$A$5:$A$48,0)),"")</f>
        <v>0.06</v>
      </c>
      <c r="I40" s="381">
        <f>IFERROR(INDEX('RESID-E_ANTC'!$M$5:$T$48,MATCH($B40,'RESID-E_ANTC'!$A$5:$A$48,0),MATCH(I$5,'RESID-E_ANTC'!$M$3:$T$3,0)),"")</f>
        <v>25.1952522652347</v>
      </c>
      <c r="J40" s="379">
        <f>IFERROR(INDEX(FNRG_ANTC!$I$4:$I$51,MATCH($B40,FNRG_ANTC!$A$4:$A$51,0)),"")</f>
        <v>9.9920000000000009</v>
      </c>
      <c r="K40" s="233">
        <f t="shared" si="0"/>
        <v>0.6429686067741599</v>
      </c>
      <c r="L40" s="226">
        <f t="shared" si="1"/>
        <v>0.64296697178877849</v>
      </c>
    </row>
    <row r="41" spans="1:12" x14ac:dyDescent="0.25">
      <c r="A41" s="232" t="e">
        <f>IF(ITEMS_Tech_E!#REF!="","",ITEMS_Tech_E!#REF!)</f>
        <v>#REF!</v>
      </c>
      <c r="B41" s="385" t="str">
        <f>IF(ITEMS_Tech_E!D41="","",ITEMS_Tech_E!D41)</f>
        <v>*</v>
      </c>
      <c r="C41" s="232" t="str">
        <f>IF(ITEMS_Tech_E!E41="","",ITEMS_Tech_E!E41)</f>
        <v/>
      </c>
      <c r="D41" s="374"/>
      <c r="E41" s="374"/>
      <c r="F41" s="377">
        <f>IFERROR(INDEX('EFF-E_ANTC'!$C$4:$H$47,MATCH($B41,'EFF-E_ANTC'!$A$4:$A$47,0),MATCH(F$5,'EFF-E_ANTC'!$C$3:$H$3,0)),"")</f>
        <v>6.4348339348895098E-2</v>
      </c>
      <c r="G41" s="379">
        <f>IFERROR(INDEX('AFA-E_ANTC'!$J$5:$O$48,MATCH($B41,'AFA-E_ANTC'!$A$5:$A$48,0),MATCH(G$5,'AFA-E_ANTC'!$J$3:$O$3,0)),"")</f>
        <v>0.42532283795650333</v>
      </c>
      <c r="H41" s="379">
        <f>IFERROR(INDEX('AFA-E_ANTC'!$P$5:$P$48,MATCH($B41,'AFA-E_ANTC'!$A$5:$A$48,0)),"")</f>
        <v>0.06</v>
      </c>
      <c r="I41" s="381">
        <f>IFERROR(INDEX('RESID-E_ANTC'!$M$5:$T$48,MATCH($B41,'RESID-E_ANTC'!$A$5:$A$48,0),MATCH(I$5,'RESID-E_ANTC'!$M$3:$T$3,0)),"")</f>
        <v>25.1952522652347</v>
      </c>
      <c r="J41" s="379">
        <f>IFERROR(INDEX(FNRG_ANTC!$I$4:$I$51,MATCH($B41,FNRG_ANTC!$A$4:$A$51,0)),"")</f>
        <v>9.9920000000000009</v>
      </c>
      <c r="K41" s="233">
        <f t="shared" si="0"/>
        <v>0.6429686067741599</v>
      </c>
      <c r="L41" s="226">
        <f t="shared" si="1"/>
        <v>0.64296697178877849</v>
      </c>
    </row>
    <row r="42" spans="1:12" x14ac:dyDescent="0.25">
      <c r="A42" s="232" t="e">
        <f>IF(ITEMS_Tech_E!#REF!="","",ITEMS_Tech_E!#REF!)</f>
        <v>#REF!</v>
      </c>
      <c r="B42" s="385" t="str">
        <f>IF(ITEMS_Tech_E!D42="","",ITEMS_Tech_E!D42)</f>
        <v>*</v>
      </c>
      <c r="C42" s="232" t="str">
        <f>IF(ITEMS_Tech_E!E42="","",ITEMS_Tech_E!E42)</f>
        <v/>
      </c>
      <c r="D42" s="374"/>
      <c r="E42" s="374"/>
      <c r="F42" s="377">
        <f>IFERROR(INDEX('EFF-E_ANTC'!$C$4:$H$47,MATCH($B42,'EFF-E_ANTC'!$A$4:$A$47,0),MATCH(F$5,'EFF-E_ANTC'!$C$3:$H$3,0)),"")</f>
        <v>6.4348339348895098E-2</v>
      </c>
      <c r="G42" s="379">
        <f>IFERROR(INDEX('AFA-E_ANTC'!$J$5:$O$48,MATCH($B42,'AFA-E_ANTC'!$A$5:$A$48,0),MATCH(G$5,'AFA-E_ANTC'!$J$3:$O$3,0)),"")</f>
        <v>0.42532283795650333</v>
      </c>
      <c r="H42" s="379">
        <f>IFERROR(INDEX('AFA-E_ANTC'!$P$5:$P$48,MATCH($B42,'AFA-E_ANTC'!$A$5:$A$48,0)),"")</f>
        <v>0.06</v>
      </c>
      <c r="I42" s="381">
        <f>IFERROR(INDEX('RESID-E_ANTC'!$M$5:$T$48,MATCH($B42,'RESID-E_ANTC'!$A$5:$A$48,0),MATCH(I$5,'RESID-E_ANTC'!$M$3:$T$3,0)),"")</f>
        <v>25.1952522652347</v>
      </c>
      <c r="J42" s="379">
        <f>IFERROR(INDEX(FNRG_ANTC!$I$4:$I$51,MATCH($B42,FNRG_ANTC!$A$4:$A$51,0)),"")</f>
        <v>9.9920000000000009</v>
      </c>
      <c r="K42" s="233">
        <f t="shared" si="0"/>
        <v>0.6429686067741599</v>
      </c>
      <c r="L42" s="226">
        <f t="shared" si="1"/>
        <v>0.64296697178877849</v>
      </c>
    </row>
    <row r="43" spans="1:12" x14ac:dyDescent="0.25">
      <c r="A43" s="232" t="e">
        <f>IF(ITEMS_Tech_E!#REF!="","",ITEMS_Tech_E!#REF!)</f>
        <v>#REF!</v>
      </c>
      <c r="B43" s="385" t="str">
        <f>IF(ITEMS_Tech_E!D43="","",ITEMS_Tech_E!D43)</f>
        <v>*</v>
      </c>
      <c r="C43" s="232" t="str">
        <f>IF(ITEMS_Tech_E!E43="","",ITEMS_Tech_E!E43)</f>
        <v>Light Commercial Vehicles</v>
      </c>
      <c r="D43" s="374"/>
      <c r="E43" s="374"/>
      <c r="F43" s="377">
        <f>IFERROR(INDEX('EFF-E_ANTC'!$C$4:$H$47,MATCH($B43,'EFF-E_ANTC'!$A$4:$A$47,0),MATCH(F$5,'EFF-E_ANTC'!$C$3:$H$3,0)),"")</f>
        <v>6.4348339348895098E-2</v>
      </c>
      <c r="G43" s="379">
        <f>IFERROR(INDEX('AFA-E_ANTC'!$J$5:$O$48,MATCH($B43,'AFA-E_ANTC'!$A$5:$A$48,0),MATCH(G$5,'AFA-E_ANTC'!$J$3:$O$3,0)),"")</f>
        <v>0.42532283795650333</v>
      </c>
      <c r="H43" s="379">
        <f>IFERROR(INDEX('AFA-E_ANTC'!$P$5:$P$48,MATCH($B43,'AFA-E_ANTC'!$A$5:$A$48,0)),"")</f>
        <v>0.06</v>
      </c>
      <c r="I43" s="381">
        <f>IFERROR(INDEX('RESID-E_ANTC'!$M$5:$T$48,MATCH($B43,'RESID-E_ANTC'!$A$5:$A$48,0),MATCH(I$5,'RESID-E_ANTC'!$M$3:$T$3,0)),"")</f>
        <v>25.1952522652347</v>
      </c>
      <c r="J43" s="379">
        <f>IFERROR(INDEX(FNRG_ANTC!$I$4:$I$51,MATCH($B43,FNRG_ANTC!$A$4:$A$51,0)),"")</f>
        <v>9.9920000000000009</v>
      </c>
      <c r="K43" s="233">
        <f t="shared" si="0"/>
        <v>0.6429686067741599</v>
      </c>
      <c r="L43" s="226">
        <f t="shared" si="1"/>
        <v>0.64296697178877849</v>
      </c>
    </row>
    <row r="44" spans="1:12" x14ac:dyDescent="0.25">
      <c r="A44" s="232" t="e">
        <f>IF(ITEMS_Tech_E!#REF!="","",ITEMS_Tech_E!#REF!)</f>
        <v>#REF!</v>
      </c>
      <c r="B44" s="385" t="str">
        <f>IF(ITEMS_Tech_E!D44="","",ITEMS_Tech_E!D44)</f>
        <v>TFLCVODS-E</v>
      </c>
      <c r="C44" s="232" t="str">
        <f>IF(ITEMS_Tech_E!E44="","",ITEMS_Tech_E!E44)</f>
        <v>Transport Freight - LCV Oil Diesel-E</v>
      </c>
      <c r="D44" s="219" t="s">
        <v>411</v>
      </c>
      <c r="E44" s="219" t="s">
        <v>276</v>
      </c>
      <c r="F44" s="377">
        <f>IFERROR(INDEX('EFF-E_ANTC'!$C$4:$H$47,MATCH($B44,'EFF-E_ANTC'!$A$4:$A$47,0),MATCH(F$5,'EFF-E_ANTC'!$C$3:$H$3,0)),"")</f>
        <v>0.23594563867169499</v>
      </c>
      <c r="G44" s="379">
        <f>IFERROR(INDEX('AFA-E_ANTC'!$J$5:$O$48,MATCH($B44,'AFA-E_ANTC'!$A$5:$A$48,0),MATCH(G$5,'AFA-E_ANTC'!$J$3:$O$3,0)),"")</f>
        <v>0.61072362441792005</v>
      </c>
      <c r="H44" s="379">
        <f>IFERROR(INDEX('AFA-E_ANTC'!$P$5:$P$48,MATCH($B44,'AFA-E_ANTC'!$A$5:$A$48,0)),"")</f>
        <v>0.04</v>
      </c>
      <c r="I44" s="381">
        <f>IFERROR(INDEX('RESID-E_ANTC'!$M$5:$T$48,MATCH($B44,'RESID-E_ANTC'!$A$5:$A$48,0),MATCH(I$5,'RESID-E_ANTC'!$M$3:$T$3,0)),"")</f>
        <v>1151.5302002553699</v>
      </c>
      <c r="J44" s="379">
        <f>IFERROR(INDEX(FNRG_ANTC!$I$4:$I$51,MATCH($B44,FNRG_ANTC!$A$4:$A$51,0)),"")</f>
        <v>119.2</v>
      </c>
      <c r="K44" s="233">
        <f t="shared" si="0"/>
        <v>28.124720129666045</v>
      </c>
      <c r="L44" s="226">
        <f t="shared" si="1"/>
        <v>28.130667901066111</v>
      </c>
    </row>
    <row r="45" spans="1:12" x14ac:dyDescent="0.25">
      <c r="A45" s="232" t="e">
        <f>IF(ITEMS_Tech_E!#REF!="","",ITEMS_Tech_E!#REF!)</f>
        <v>#REF!</v>
      </c>
      <c r="B45" s="385" t="str">
        <f>IF(ITEMS_Tech_E!D45="","",ITEMS_Tech_E!D45)</f>
        <v>TFLCVOGS-E</v>
      </c>
      <c r="C45" s="232" t="str">
        <f>IF(ITEMS_Tech_E!E45="","",ITEMS_Tech_E!E45)</f>
        <v>Transport Freight - LCV Oil Gasoline-E</v>
      </c>
      <c r="D45" s="219" t="s">
        <v>413</v>
      </c>
      <c r="E45" s="219" t="s">
        <v>276</v>
      </c>
      <c r="F45" s="377">
        <f>IFERROR(INDEX('EFF-E_ANTC'!$C$4:$H$47,MATCH($B45,'EFF-E_ANTC'!$A$4:$A$47,0),MATCH(F$5,'EFF-E_ANTC'!$C$3:$H$3,0)),"")</f>
        <v>0.206254237709705</v>
      </c>
      <c r="G45" s="379">
        <f>IFERROR(INDEX('AFA-E_ANTC'!$J$5:$O$48,MATCH($B45,'AFA-E_ANTC'!$A$5:$A$48,0),MATCH(G$5,'AFA-E_ANTC'!$J$3:$O$3,0)),"")</f>
        <v>0.42864819562748002</v>
      </c>
      <c r="H45" s="379">
        <f>IFERROR(INDEX('AFA-E_ANTC'!$P$5:$P$48,MATCH($B45,'AFA-E_ANTC'!$A$5:$A$48,0)),"")</f>
        <v>3.4999999999999996E-2</v>
      </c>
      <c r="I45" s="381">
        <f>IFERROR(INDEX('RESID-E_ANTC'!$M$5:$T$48,MATCH($B45,'RESID-E_ANTC'!$A$5:$A$48,0),MATCH(I$5,'RESID-E_ANTC'!$M$3:$T$3,0)),"")</f>
        <v>1296.7112413349801</v>
      </c>
      <c r="J45" s="379">
        <f>IFERROR(INDEX(FNRG_ANTC!$I$4:$I$51,MATCH($B45,FNRG_ANTC!$A$4:$A$51,0)),"")</f>
        <v>94.32</v>
      </c>
      <c r="K45" s="233">
        <f t="shared" si="0"/>
        <v>19.453899700779374</v>
      </c>
      <c r="L45" s="226">
        <f t="shared" si="1"/>
        <v>19.454152684683812</v>
      </c>
    </row>
    <row r="46" spans="1:12" x14ac:dyDescent="0.25">
      <c r="A46" s="232" t="e">
        <f>IF(ITEMS_Tech_E!#REF!="","",ITEMS_Tech_E!#REF!)</f>
        <v>#REF!</v>
      </c>
      <c r="B46" s="385" t="str">
        <f>IF(ITEMS_Tech_E!D46="","",ITEMS_Tech_E!D46)</f>
        <v>TFLCVGAS-E</v>
      </c>
      <c r="C46" s="232" t="str">
        <f>IF(ITEMS_Tech_E!E46="","",ITEMS_Tech_E!E46)</f>
        <v>Transport Freight - LCV Gas-E</v>
      </c>
      <c r="D46" s="219" t="s">
        <v>563</v>
      </c>
      <c r="E46" s="219" t="s">
        <v>276</v>
      </c>
      <c r="F46" s="377">
        <f>IFERROR(INDEX('EFF-E_ANTC'!$C$4:$H$47,MATCH($B46,'EFF-E_ANTC'!$A$4:$A$47,0),MATCH(F$5,'EFF-E_ANTC'!$C$3:$H$3,0)),"")</f>
        <v>0.21887575620523803</v>
      </c>
      <c r="G46" s="379">
        <f>IFERROR(INDEX('AFA-E_ANTC'!$J$5:$O$48,MATCH($B46,'AFA-E_ANTC'!$A$5:$A$48,0),MATCH(G$5,'AFA-E_ANTC'!$J$3:$O$3,0)),"")</f>
        <v>0</v>
      </c>
      <c r="H46" s="379">
        <f>IFERROR(INDEX('AFA-E_ANTC'!$P$5:$P$48,MATCH($B46,'AFA-E_ANTC'!$A$5:$A$48,0)),"")</f>
        <v>1.6984001252854999E-2</v>
      </c>
      <c r="I46" s="381">
        <f>IFERROR(INDEX('RESID-E_ANTC'!$M$5:$T$48,MATCH($B46,'RESID-E_ANTC'!$A$5:$A$48,0),MATCH(I$5,'RESID-E_ANTC'!$M$3:$T$3,0)),"")</f>
        <v>12.967112413349801</v>
      </c>
      <c r="J46" s="379">
        <f>IFERROR(INDEX(FNRG_ANTC!$I$4:$I$51,MATCH($B46,FNRG_ANTC!$A$4:$A$51,0)),"")</f>
        <v>0</v>
      </c>
      <c r="K46" s="233">
        <f t="shared" si="0"/>
        <v>0</v>
      </c>
      <c r="L46" s="226">
        <f t="shared" si="1"/>
        <v>0</v>
      </c>
    </row>
    <row r="47" spans="1:12" x14ac:dyDescent="0.25">
      <c r="A47" s="232" t="e">
        <f>IF(ITEMS_Tech_E!#REF!="","",ITEMS_Tech_E!#REF!)</f>
        <v>#REF!</v>
      </c>
      <c r="B47" s="385" t="str">
        <f>IF(ITEMS_Tech_E!D47="","",ITEMS_Tech_E!D47)</f>
        <v>*</v>
      </c>
      <c r="C47" s="232" t="str">
        <f>IF(ITEMS_Tech_E!E47="","",ITEMS_Tech_E!E47)</f>
        <v/>
      </c>
      <c r="D47" s="374"/>
      <c r="E47" s="374"/>
      <c r="F47" s="377">
        <f>IFERROR(INDEX('EFF-E_ANTC'!$C$4:$H$47,MATCH($B47,'EFF-E_ANTC'!$A$4:$A$47,0),MATCH(F$5,'EFF-E_ANTC'!$C$3:$H$3,0)),"")</f>
        <v>6.4348339348895098E-2</v>
      </c>
      <c r="G47" s="379">
        <f>IFERROR(INDEX('AFA-E_ANTC'!$J$5:$O$48,MATCH($B47,'AFA-E_ANTC'!$A$5:$A$48,0),MATCH(G$5,'AFA-E_ANTC'!$J$3:$O$3,0)),"")</f>
        <v>0.42532283795650333</v>
      </c>
      <c r="H47" s="379">
        <f>IFERROR(INDEX('AFA-E_ANTC'!$P$5:$P$48,MATCH($B47,'AFA-E_ANTC'!$A$5:$A$48,0)),"")</f>
        <v>0.06</v>
      </c>
      <c r="I47" s="381">
        <f>IFERROR(INDEX('RESID-E_ANTC'!$M$5:$T$48,MATCH($B47,'RESID-E_ANTC'!$A$5:$A$48,0),MATCH(I$5,'RESID-E_ANTC'!$M$3:$T$3,0)),"")</f>
        <v>25.1952522652347</v>
      </c>
      <c r="J47" s="379">
        <f>IFERROR(INDEX(FNRG_ANTC!$I$4:$I$51,MATCH($B47,FNRG_ANTC!$A$4:$A$51,0)),"")</f>
        <v>9.9920000000000009</v>
      </c>
      <c r="K47" s="233">
        <f t="shared" si="0"/>
        <v>0.6429686067741599</v>
      </c>
      <c r="L47" s="226">
        <f t="shared" si="1"/>
        <v>0.64296697178877849</v>
      </c>
    </row>
    <row r="48" spans="1:12" x14ac:dyDescent="0.25">
      <c r="A48" s="232" t="e">
        <f>IF(ITEMS_Tech_E!#REF!="","",ITEMS_Tech_E!#REF!)</f>
        <v>#REF!</v>
      </c>
      <c r="B48" s="385" t="str">
        <f>IF(ITEMS_Tech_E!D48="","",ITEMS_Tech_E!D48)</f>
        <v>*</v>
      </c>
      <c r="C48" s="232" t="str">
        <f>IF(ITEMS_Tech_E!E48="","",ITEMS_Tech_E!E48)</f>
        <v>Heavy Commercial Vehicles</v>
      </c>
      <c r="D48" s="374"/>
      <c r="E48" s="374"/>
      <c r="F48" s="377">
        <f>IFERROR(INDEX('EFF-E_ANTC'!$C$4:$H$47,MATCH($B48,'EFF-E_ANTC'!$A$4:$A$47,0),MATCH(F$5,'EFF-E_ANTC'!$C$3:$H$3,0)),"")</f>
        <v>6.4348339348895098E-2</v>
      </c>
      <c r="G48" s="379">
        <f>IFERROR(INDEX('AFA-E_ANTC'!$J$5:$O$48,MATCH($B48,'AFA-E_ANTC'!$A$5:$A$48,0),MATCH(G$5,'AFA-E_ANTC'!$J$3:$O$3,0)),"")</f>
        <v>0.42532283795650333</v>
      </c>
      <c r="H48" s="379">
        <f>IFERROR(INDEX('AFA-E_ANTC'!$P$5:$P$48,MATCH($B48,'AFA-E_ANTC'!$A$5:$A$48,0)),"")</f>
        <v>0.06</v>
      </c>
      <c r="I48" s="381">
        <f>IFERROR(INDEX('RESID-E_ANTC'!$M$5:$T$48,MATCH($B48,'RESID-E_ANTC'!$A$5:$A$48,0),MATCH(I$5,'RESID-E_ANTC'!$M$3:$T$3,0)),"")</f>
        <v>25.1952522652347</v>
      </c>
      <c r="J48" s="379">
        <f>IFERROR(INDEX(FNRG_ANTC!$I$4:$I$51,MATCH($B48,FNRG_ANTC!$A$4:$A$51,0)),"")</f>
        <v>9.9920000000000009</v>
      </c>
      <c r="K48" s="233">
        <f t="shared" si="0"/>
        <v>0.6429686067741599</v>
      </c>
      <c r="L48" s="226">
        <f t="shared" si="1"/>
        <v>0.64296697178877849</v>
      </c>
    </row>
    <row r="49" spans="1:12" x14ac:dyDescent="0.25">
      <c r="A49" s="232" t="e">
        <f>IF(ITEMS_Tech_E!#REF!="","",ITEMS_Tech_E!#REF!)</f>
        <v>#REF!</v>
      </c>
      <c r="B49" s="385" t="str">
        <f>IF(ITEMS_Tech_E!D49="","",ITEMS_Tech_E!D49)</f>
        <v>TFHCV1ODS-E</v>
      </c>
      <c r="C49" s="232" t="str">
        <f>IF(ITEMS_Tech_E!E49="","",ITEMS_Tech_E!E49)</f>
        <v>Transport Freight - HCV1 Oil Diesel-E</v>
      </c>
      <c r="D49" s="219" t="s">
        <v>411</v>
      </c>
      <c r="E49" s="219" t="s">
        <v>253</v>
      </c>
      <c r="F49" s="377">
        <f>IFERROR(INDEX('EFF-E_ANTC'!$C$4:$H$47,MATCH($B49,'EFF-E_ANTC'!$A$4:$A$47,0),MATCH(F$5,'EFF-E_ANTC'!$C$3:$H$3,0)),"")</f>
        <v>0.170324176066042</v>
      </c>
      <c r="G49" s="379">
        <f>IFERROR(INDEX('AFA-E_ANTC'!$J$5:$O$48,MATCH($B49,'AFA-E_ANTC'!$A$5:$A$48,0),MATCH(G$5,'AFA-E_ANTC'!$J$3:$O$3,0)),"")</f>
        <v>0.52132555079955811</v>
      </c>
      <c r="H49" s="379">
        <f>IFERROR(INDEX('AFA-E_ANTC'!$P$5:$P$48,MATCH($B49,'AFA-E_ANTC'!$A$5:$A$48,0)),"")</f>
        <v>5.5E-2</v>
      </c>
      <c r="I49" s="381">
        <f>IFERROR(INDEX('RESID-E_ANTC'!$M$5:$T$48,MATCH($B49,'RESID-E_ANTC'!$A$5:$A$48,0),MATCH(I$5,'RESID-E_ANTC'!$M$3:$T$3,0)),"")</f>
        <v>126.227705550552</v>
      </c>
      <c r="J49" s="379">
        <f>IFERROR(INDEX(FNRG_ANTC!$I$4:$I$51,MATCH($B49,FNRG_ANTC!$A$4:$A$51,0)),"")</f>
        <v>21.25</v>
      </c>
      <c r="K49" s="233">
        <f t="shared" si="0"/>
        <v>3.6193887414033923</v>
      </c>
      <c r="L49" s="226">
        <f t="shared" si="1"/>
        <v>3.619315046726828</v>
      </c>
    </row>
    <row r="50" spans="1:12" x14ac:dyDescent="0.25">
      <c r="A50" s="232" t="e">
        <f>IF(ITEMS_Tech_E!#REF!="","",ITEMS_Tech_E!#REF!)</f>
        <v>#REF!</v>
      </c>
      <c r="B50" s="385" t="str">
        <f>IF(ITEMS_Tech_E!D50="","",ITEMS_Tech_E!D50)</f>
        <v>TFHCV1OGS-E</v>
      </c>
      <c r="C50" s="232" t="str">
        <f>IF(ITEMS_Tech_E!E50="","",ITEMS_Tech_E!E50)</f>
        <v>Transport Freight - HCV1 Oil Gasoline-E</v>
      </c>
      <c r="D50" s="219" t="s">
        <v>413</v>
      </c>
      <c r="E50" s="219" t="s">
        <v>253</v>
      </c>
      <c r="F50" s="377">
        <f>IFERROR(INDEX('EFF-E_ANTC'!$C$4:$H$47,MATCH($B50,'EFF-E_ANTC'!$A$4:$A$47,0),MATCH(F$5,'EFF-E_ANTC'!$C$3:$H$3,0)),"")</f>
        <v>0.14896435210389899</v>
      </c>
      <c r="G50" s="379">
        <f>IFERROR(INDEX('AFA-E_ANTC'!$J$5:$O$48,MATCH($B50,'AFA-E_ANTC'!$A$5:$A$48,0),MATCH(G$5,'AFA-E_ANTC'!$J$3:$O$3,0)),"")</f>
        <v>0.28714519727711668</v>
      </c>
      <c r="H50" s="379">
        <f>IFERROR(INDEX('AFA-E_ANTC'!$P$5:$P$48,MATCH($B50,'AFA-E_ANTC'!$A$5:$A$48,0)),"")</f>
        <v>4.8000000000000001E-2</v>
      </c>
      <c r="I50" s="381">
        <f>IFERROR(INDEX('RESID-E_ANTC'!$M$5:$T$48,MATCH($B50,'RESID-E_ANTC'!$A$5:$A$48,0),MATCH(I$5,'RESID-E_ANTC'!$M$3:$T$3,0)),"")</f>
        <v>2.3335554859995198</v>
      </c>
      <c r="J50" s="379">
        <f>IFERROR(INDEX(FNRG_ANTC!$I$4:$I$51,MATCH($B50,FNRG_ANTC!$A$4:$A$51,0)),"")</f>
        <v>0.21590000000000001</v>
      </c>
      <c r="K50" s="233">
        <f t="shared" si="0"/>
        <v>3.2161403619231796E-2</v>
      </c>
      <c r="L50" s="226">
        <f t="shared" si="1"/>
        <v>3.2163324018452642E-2</v>
      </c>
    </row>
    <row r="51" spans="1:12" x14ac:dyDescent="0.25">
      <c r="A51" s="232" t="e">
        <f>IF(ITEMS_Tech_E!#REF!="","",ITEMS_Tech_E!#REF!)</f>
        <v>#REF!</v>
      </c>
      <c r="B51" s="385" t="str">
        <f>IF(ITEMS_Tech_E!D51="","",ITEMS_Tech_E!D51)</f>
        <v>TFHCV2ODS-E</v>
      </c>
      <c r="C51" s="232" t="str">
        <f>IF(ITEMS_Tech_E!E51="","",ITEMS_Tech_E!E51)</f>
        <v>Transport Freight - HCV2 Oil Diesel-E</v>
      </c>
      <c r="D51" s="219" t="s">
        <v>411</v>
      </c>
      <c r="E51" s="219" t="s">
        <v>259</v>
      </c>
      <c r="F51" s="377">
        <f>IFERROR(INDEX('EFF-E_ANTC'!$C$4:$H$47,MATCH($B51,'EFF-E_ANTC'!$A$4:$A$47,0),MATCH(F$5,'EFF-E_ANTC'!$C$3:$H$3,0)),"")</f>
        <v>0.13643182834537301</v>
      </c>
      <c r="G51" s="379">
        <f>IFERROR(INDEX('AFA-E_ANTC'!$J$5:$O$48,MATCH($B51,'AFA-E_ANTC'!$A$5:$A$48,0),MATCH(G$5,'AFA-E_ANTC'!$J$3:$O$3,0)),"")</f>
        <v>0.61587499088696462</v>
      </c>
      <c r="H51" s="379">
        <f>IFERROR(INDEX('AFA-E_ANTC'!$P$5:$P$48,MATCH($B51,'AFA-E_ANTC'!$A$5:$A$48,0)),"")</f>
        <v>4.8000000000000001E-2</v>
      </c>
      <c r="I51" s="381">
        <f>IFERROR(INDEX('RESID-E_ANTC'!$M$5:$T$48,MATCH($B51,'RESID-E_ANTC'!$A$5:$A$48,0),MATCH(I$5,'RESID-E_ANTC'!$M$3:$T$3,0)),"")</f>
        <v>33.929342714939402</v>
      </c>
      <c r="J51" s="379">
        <f>IFERROR(INDEX(FNRG_ANTC!$I$4:$I$51,MATCH($B51,FNRG_ANTC!$A$4:$A$51,0)),"")</f>
        <v>7.3520000000000003</v>
      </c>
      <c r="K51" s="233">
        <f t="shared" si="0"/>
        <v>1.0030468019951824</v>
      </c>
      <c r="L51" s="226">
        <f t="shared" si="1"/>
        <v>1.0030192144974721</v>
      </c>
    </row>
    <row r="52" spans="1:12" x14ac:dyDescent="0.25">
      <c r="A52" s="232" t="e">
        <f>IF(ITEMS_Tech_E!#REF!="","",ITEMS_Tech_E!#REF!)</f>
        <v>#REF!</v>
      </c>
      <c r="B52" s="385" t="str">
        <f>IF(ITEMS_Tech_E!D52="","",ITEMS_Tech_E!D52)</f>
        <v>TFHCV3ODS-E</v>
      </c>
      <c r="C52" s="232" t="str">
        <f>IF(ITEMS_Tech_E!E52="","",ITEMS_Tech_E!E52)</f>
        <v>Transport Freight - HCV3 Oil Diesel-E</v>
      </c>
      <c r="D52" s="219" t="s">
        <v>411</v>
      </c>
      <c r="E52" s="219" t="s">
        <v>261</v>
      </c>
      <c r="F52" s="377">
        <f>IFERROR(INDEX('EFF-E_ANTC'!$C$4:$H$47,MATCH($B52,'EFF-E_ANTC'!$A$4:$A$47,0),MATCH(F$5,'EFF-E_ANTC'!$C$3:$H$3,0)),"")</f>
        <v>0.119281768417066</v>
      </c>
      <c r="G52" s="379">
        <f>IFERROR(INDEX('AFA-E_ANTC'!$J$5:$O$48,MATCH($B52,'AFA-E_ANTC'!$A$5:$A$48,0),MATCH(G$5,'AFA-E_ANTC'!$J$3:$O$3,0)),"")</f>
        <v>0.61905509360465294</v>
      </c>
      <c r="H52" s="379">
        <f>IFERROR(INDEX('AFA-E_ANTC'!$P$5:$P$48,MATCH($B52,'AFA-E_ANTC'!$A$5:$A$48,0)),"")</f>
        <v>8.4999999999999992E-2</v>
      </c>
      <c r="I52" s="381">
        <f>IFERROR(INDEX('RESID-E_ANTC'!$M$5:$T$48,MATCH($B52,'RESID-E_ANTC'!$A$5:$A$48,0),MATCH(I$5,'RESID-E_ANTC'!$M$3:$T$3,0)),"")</f>
        <v>62.7019053147121</v>
      </c>
      <c r="J52" s="379">
        <f>IFERROR(INDEX(FNRG_ANTC!$I$4:$I$51,MATCH($B52,FNRG_ANTC!$A$4:$A$51,0)),"")</f>
        <v>27.66</v>
      </c>
      <c r="K52" s="233">
        <f t="shared" si="0"/>
        <v>3.2993337144160457</v>
      </c>
      <c r="L52" s="226">
        <f t="shared" si="1"/>
        <v>3.2993543784220805</v>
      </c>
    </row>
    <row r="53" spans="1:12" x14ac:dyDescent="0.25">
      <c r="A53" s="232" t="e">
        <f>IF(ITEMS_Tech_E!#REF!="","",ITEMS_Tech_E!#REF!)</f>
        <v>#REF!</v>
      </c>
      <c r="B53" s="385" t="str">
        <f>IF(ITEMS_Tech_E!D53="","",ITEMS_Tech_E!D53)</f>
        <v>TFHCV4ODS-E</v>
      </c>
      <c r="C53" s="232" t="str">
        <f>IF(ITEMS_Tech_E!E53="","",ITEMS_Tech_E!E53)</f>
        <v>Transport Freight - HCV4 Oil Diesel-E</v>
      </c>
      <c r="D53" s="219" t="s">
        <v>411</v>
      </c>
      <c r="E53" s="219" t="s">
        <v>263</v>
      </c>
      <c r="F53" s="377">
        <f>IFERROR(INDEX('EFF-E_ANTC'!$C$4:$H$47,MATCH($B53,'EFF-E_ANTC'!$A$4:$A$47,0),MATCH(F$5,'EFF-E_ANTC'!$C$3:$H$3,0)),"")</f>
        <v>0.102511485821615</v>
      </c>
      <c r="G53" s="379">
        <f>IFERROR(INDEX('AFA-E_ANTC'!$J$5:$O$48,MATCH($B53,'AFA-E_ANTC'!$A$5:$A$48,0),MATCH(G$5,'AFA-E_ANTC'!$J$3:$O$3,0)),"")</f>
        <v>0.58392433243894237</v>
      </c>
      <c r="H53" s="379">
        <f>IFERROR(INDEX('AFA-E_ANTC'!$P$5:$P$48,MATCH($B53,'AFA-E_ANTC'!$A$5:$A$48,0)),"")</f>
        <v>8.4999999999999992E-2</v>
      </c>
      <c r="I53" s="381">
        <f>IFERROR(INDEX('RESID-E_ANTC'!$M$5:$T$48,MATCH($B53,'RESID-E_ANTC'!$A$5:$A$48,0),MATCH(I$5,'RESID-E_ANTC'!$M$3:$T$3,0)),"")</f>
        <v>12.056497449546701</v>
      </c>
      <c r="J53" s="379">
        <f>IFERROR(INDEX(FNRG_ANTC!$I$4:$I$51,MATCH($B53,FNRG_ANTC!$A$4:$A$51,0)),"")</f>
        <v>5.8369999999999997</v>
      </c>
      <c r="K53" s="233">
        <f t="shared" si="0"/>
        <v>0.59835954274076675</v>
      </c>
      <c r="L53" s="226">
        <f t="shared" si="1"/>
        <v>0.5984069891061613</v>
      </c>
    </row>
    <row r="54" spans="1:12" x14ac:dyDescent="0.25">
      <c r="A54" s="232" t="e">
        <f>IF(ITEMS_Tech_E!#REF!="","",ITEMS_Tech_E!#REF!)</f>
        <v>#REF!</v>
      </c>
      <c r="B54" s="385" t="str">
        <f>IF(ITEMS_Tech_E!D54="","",ITEMS_Tech_E!D54)</f>
        <v>TFHCV5ODS-E</v>
      </c>
      <c r="C54" s="232" t="str">
        <f>IF(ITEMS_Tech_E!E54="","",ITEMS_Tech_E!E54)</f>
        <v>Transport Freight - HCV5 Oil Diesel-E</v>
      </c>
      <c r="D54" s="219" t="s">
        <v>411</v>
      </c>
      <c r="E54" s="219" t="s">
        <v>265</v>
      </c>
      <c r="F54" s="377">
        <f>IFERROR(INDEX('EFF-E_ANTC'!$C$4:$H$47,MATCH($B54,'EFF-E_ANTC'!$A$4:$A$47,0),MATCH(F$5,'EFF-E_ANTC'!$C$3:$H$3,0)),"")</f>
        <v>9.4439576839910805E-2</v>
      </c>
      <c r="G54" s="379">
        <f>IFERROR(INDEX('AFA-E_ANTC'!$J$5:$O$48,MATCH($B54,'AFA-E_ANTC'!$A$5:$A$48,0),MATCH(G$5,'AFA-E_ANTC'!$J$3:$O$3,0)),"")</f>
        <v>0.49666887732492726</v>
      </c>
      <c r="H54" s="379">
        <f>IFERROR(INDEX('AFA-E_ANTC'!$P$5:$P$48,MATCH($B54,'AFA-E_ANTC'!$A$5:$A$48,0)),"")</f>
        <v>0.11</v>
      </c>
      <c r="I54" s="381">
        <f>IFERROR(INDEX('RESID-E_ANTC'!$M$5:$T$48,MATCH($B54,'RESID-E_ANTC'!$A$5:$A$48,0),MATCH(I$5,'RESID-E_ANTC'!$M$3:$T$3,0)),"")</f>
        <v>5.4543032895166199</v>
      </c>
      <c r="J54" s="379">
        <f>IFERROR(INDEX(FNRG_ANTC!$I$4:$I$51,MATCH($B54,FNRG_ANTC!$A$4:$A$51,0)),"")</f>
        <v>3.1549999999999998</v>
      </c>
      <c r="K54" s="233">
        <f t="shared" si="0"/>
        <v>0.29795686492991857</v>
      </c>
      <c r="L54" s="226">
        <f t="shared" si="1"/>
        <v>0.29798809605332649</v>
      </c>
    </row>
    <row r="55" spans="1:12" x14ac:dyDescent="0.25">
      <c r="A55" s="232" t="e">
        <f>IF(ITEMS_Tech_E!#REF!="","",ITEMS_Tech_E!#REF!)</f>
        <v>#REF!</v>
      </c>
      <c r="B55" s="385" t="str">
        <f>IF(ITEMS_Tech_E!D55="","",ITEMS_Tech_E!D55)</f>
        <v>TFHCV6ODS-E</v>
      </c>
      <c r="C55" s="232" t="str">
        <f>IF(ITEMS_Tech_E!E55="","",ITEMS_Tech_E!E55)</f>
        <v>Transport Freight - HCV6 Oil Diesel-E</v>
      </c>
      <c r="D55" s="219" t="s">
        <v>411</v>
      </c>
      <c r="E55" s="219" t="s">
        <v>267</v>
      </c>
      <c r="F55" s="377">
        <f>IFERROR(INDEX('EFF-E_ANTC'!$C$4:$H$47,MATCH($B55,'EFF-E_ANTC'!$A$4:$A$47,0),MATCH(F$5,'EFF-E_ANTC'!$C$3:$H$3,0)),"")</f>
        <v>6.5140074152247901E-2</v>
      </c>
      <c r="G55" s="379">
        <f>IFERROR(INDEX('AFA-E_ANTC'!$J$5:$O$48,MATCH($B55,'AFA-E_ANTC'!$A$5:$A$48,0),MATCH(G$5,'AFA-E_ANTC'!$J$3:$O$3,0)),"")</f>
        <v>0.57071749864109456</v>
      </c>
      <c r="H55" s="379">
        <f>IFERROR(INDEX('AFA-E_ANTC'!$P$5:$P$48,MATCH($B55,'AFA-E_ANTC'!$A$5:$A$48,0)),"")</f>
        <v>0.11</v>
      </c>
      <c r="I55" s="381">
        <f>IFERROR(INDEX('RESID-E_ANTC'!$M$5:$T$48,MATCH($B55,'RESID-E_ANTC'!$A$5:$A$48,0),MATCH(I$5,'RESID-E_ANTC'!$M$3:$T$3,0)),"")</f>
        <v>106.12140587784999</v>
      </c>
      <c r="J55" s="379">
        <f>IFERROR(INDEX(FNRG_ANTC!$I$4:$I$51,MATCH($B55,FNRG_ANTC!$A$4:$A$51,0)),"")</f>
        <v>102.3</v>
      </c>
      <c r="K55" s="233">
        <f t="shared" si="0"/>
        <v>6.6638295857749599</v>
      </c>
      <c r="L55" s="226">
        <f t="shared" si="1"/>
        <v>6.6621877646371193</v>
      </c>
    </row>
    <row r="56" spans="1:12" x14ac:dyDescent="0.25">
      <c r="A56" s="232" t="e">
        <f>IF(ITEMS_Tech_E!#REF!="","",ITEMS_Tech_E!#REF!)</f>
        <v>#REF!</v>
      </c>
      <c r="B56" s="385" t="str">
        <f>IF(ITEMS_Tech_E!D56="","",ITEMS_Tech_E!D56)</f>
        <v>TFHCV7ODS-E</v>
      </c>
      <c r="C56" s="232" t="str">
        <f>IF(ITEMS_Tech_E!E56="","",ITEMS_Tech_E!E56)</f>
        <v>Transport Freight - HCV7 Oil Diesel-E</v>
      </c>
      <c r="D56" s="219" t="s">
        <v>411</v>
      </c>
      <c r="E56" s="219" t="s">
        <v>270</v>
      </c>
      <c r="F56" s="377">
        <f>IFERROR(INDEX('EFF-E_ANTC'!$C$4:$H$47,MATCH($B56,'EFF-E_ANTC'!$A$4:$A$47,0),MATCH(F$5,'EFF-E_ANTC'!$C$3:$H$3,0)),"")</f>
        <v>7.0317841528990704E-2</v>
      </c>
      <c r="G56" s="379">
        <f>IFERROR(INDEX('AFA-E_ANTC'!$J$5:$O$48,MATCH($B56,'AFA-E_ANTC'!$A$5:$A$48,0),MATCH(G$5,'AFA-E_ANTC'!$J$3:$O$3,0)),"")</f>
        <v>0.5377339456060668</v>
      </c>
      <c r="H56" s="379">
        <f>IFERROR(INDEX('AFA-E_ANTC'!$P$5:$P$48,MATCH($B56,'AFA-E_ANTC'!$A$5:$A$48,0)),"")</f>
        <v>0.16</v>
      </c>
      <c r="I56" s="381">
        <f>IFERROR(INDEX('RESID-E_ANTC'!$M$5:$T$48,MATCH($B56,'RESID-E_ANTC'!$A$5:$A$48,0),MATCH(I$5,'RESID-E_ANTC'!$M$3:$T$3,0)),"")</f>
        <v>25.874280497520701</v>
      </c>
      <c r="J56" s="379">
        <f>IFERROR(INDEX(FNRG_ANTC!$I$4:$I$51,MATCH($B56,FNRG_ANTC!$A$4:$A$51,0)),"")</f>
        <v>31.66</v>
      </c>
      <c r="K56" s="233">
        <f t="shared" si="0"/>
        <v>2.2262628628078458</v>
      </c>
      <c r="L56" s="226">
        <f t="shared" si="1"/>
        <v>2.2261566306639859</v>
      </c>
    </row>
    <row r="57" spans="1:12" x14ac:dyDescent="0.25">
      <c r="A57" s="232" t="e">
        <f>IF(ITEMS_Tech_E!#REF!="","",ITEMS_Tech_E!#REF!)</f>
        <v>#REF!</v>
      </c>
      <c r="B57" s="385" t="str">
        <f>IF(ITEMS_Tech_E!D57="","",ITEMS_Tech_E!D57)</f>
        <v>TFHCV8ODS-E</v>
      </c>
      <c r="C57" s="232" t="str">
        <f>IF(ITEMS_Tech_E!E57="","",ITEMS_Tech_E!E57)</f>
        <v>Transport Freight - HCV8 Oil Diesel-E</v>
      </c>
      <c r="D57" s="219" t="s">
        <v>411</v>
      </c>
      <c r="E57" s="219" t="s">
        <v>272</v>
      </c>
      <c r="F57" s="377">
        <f>IFERROR(INDEX('EFF-E_ANTC'!$C$4:$H$47,MATCH($B57,'EFF-E_ANTC'!$A$4:$A$47,0),MATCH(F$5,'EFF-E_ANTC'!$C$3:$H$3,0)),"")</f>
        <v>6.9193607941341495E-2</v>
      </c>
      <c r="G57" s="379">
        <f>IFERROR(INDEX('AFA-E_ANTC'!$J$5:$O$48,MATCH($B57,'AFA-E_ANTC'!$A$5:$A$48,0),MATCH(G$5,'AFA-E_ANTC'!$J$3:$O$3,0)),"")</f>
        <v>0.67700715609301876</v>
      </c>
      <c r="H57" s="379">
        <f>IFERROR(INDEX('AFA-E_ANTC'!$P$5:$P$48,MATCH($B57,'AFA-E_ANTC'!$A$5:$A$48,0)),"")</f>
        <v>0.16</v>
      </c>
      <c r="I57" s="381">
        <f>IFERROR(INDEX('RESID-E_ANTC'!$M$5:$T$48,MATCH($B57,'RESID-E_ANTC'!$A$5:$A$48,0),MATCH(I$5,'RESID-E_ANTC'!$M$3:$T$3,0)),"")</f>
        <v>1.1282532037320601</v>
      </c>
      <c r="J57" s="379">
        <f>IFERROR(INDEX(FNRG_ANTC!$I$4:$I$51,MATCH($B57,FNRG_ANTC!$A$4:$A$51,0)),"")</f>
        <v>1.766</v>
      </c>
      <c r="K57" s="233">
        <f t="shared" si="0"/>
        <v>0.12219591162440908</v>
      </c>
      <c r="L57" s="226">
        <f t="shared" si="1"/>
        <v>0.12221367884983668</v>
      </c>
    </row>
    <row r="58" spans="1:12" x14ac:dyDescent="0.25">
      <c r="A58" s="232" t="e">
        <f>IF(ITEMS_Tech_E!#REF!="","",ITEMS_Tech_E!#REF!)</f>
        <v>#REF!</v>
      </c>
      <c r="B58" s="385" t="str">
        <f>IF(ITEMS_Tech_E!D58="","",ITEMS_Tech_E!D58)</f>
        <v>TFHCV9ODS-E</v>
      </c>
      <c r="C58" s="232" t="str">
        <f>IF(ITEMS_Tech_E!E58="","",ITEMS_Tech_E!E58)</f>
        <v>Transport Freight - HCV9 Oil Diesel-E</v>
      </c>
      <c r="D58" s="219" t="s">
        <v>411</v>
      </c>
      <c r="E58" s="219" t="s">
        <v>274</v>
      </c>
      <c r="F58" s="377">
        <f>IFERROR(INDEX('EFF-E_ANTC'!$C$4:$H$47,MATCH($B58,'EFF-E_ANTC'!$A$4:$A$47,0),MATCH(F$5,'EFF-E_ANTC'!$C$3:$H$3,0)),"")</f>
        <v>5.4371364101907703E-2</v>
      </c>
      <c r="G58" s="379">
        <f>IFERROR(INDEX('AFA-E_ANTC'!$J$5:$O$48,MATCH($B58,'AFA-E_ANTC'!$A$5:$A$48,0),MATCH(G$5,'AFA-E_ANTC'!$J$3:$O$3,0)),"")</f>
        <v>0.3854073688786</v>
      </c>
      <c r="H58" s="379">
        <f>IFERROR(INDEX('AFA-E_ANTC'!$P$5:$P$48,MATCH($B58,'AFA-E_ANTC'!$A$5:$A$48,0)),"")</f>
        <v>0.18</v>
      </c>
      <c r="I58" s="381">
        <f>IFERROR(INDEX('RESID-E_ANTC'!$M$5:$T$48,MATCH($B58,'RESID-E_ANTC'!$A$5:$A$48,0),MATCH(I$5,'RESID-E_ANTC'!$M$3:$T$3,0)),"")</f>
        <v>0.42396796687300597</v>
      </c>
      <c r="J58" s="379">
        <f>IFERROR(INDEX(FNRG_ANTC!$I$4:$I$51,MATCH($B58,FNRG_ANTC!$A$4:$A$51,0)),"")</f>
        <v>0.54090000000000005</v>
      </c>
      <c r="K58" s="233">
        <f t="shared" si="0"/>
        <v>2.9409470842721878E-2</v>
      </c>
      <c r="L58" s="226">
        <f t="shared" si="1"/>
        <v>2.9412068148240243E-2</v>
      </c>
    </row>
    <row r="59" spans="1:12" x14ac:dyDescent="0.25">
      <c r="A59" s="232" t="e">
        <f>IF(ITEMS_Tech_E!#REF!="","",ITEMS_Tech_E!#REF!)</f>
        <v>#REF!</v>
      </c>
      <c r="B59" s="385" t="str">
        <f>IF(ITEMS_Tech_E!D59="","",ITEMS_Tech_E!D59)</f>
        <v>TFHCV1GAS-E</v>
      </c>
      <c r="C59" s="232" t="str">
        <f>IF(ITEMS_Tech_E!E59="","",ITEMS_Tech_E!E59)</f>
        <v>Transport Freight - HCV1 Gas-E</v>
      </c>
      <c r="D59" s="219" t="s">
        <v>563</v>
      </c>
      <c r="E59" s="219" t="s">
        <v>253</v>
      </c>
      <c r="F59" s="377">
        <f>IFERROR(INDEX('EFF-E_ANTC'!$C$4:$H$47,MATCH($B59,'EFF-E_ANTC'!$A$4:$A$47,0),MATCH(F$5,'EFF-E_ANTC'!$C$3:$H$3,0)),"")</f>
        <v>0.15980018435060239</v>
      </c>
      <c r="G59" s="379">
        <f>IFERROR(INDEX('AFA-E_ANTC'!$J$5:$O$48,MATCH($B59,'AFA-E_ANTC'!$A$5:$A$48,0),MATCH(G$5,'AFA-E_ANTC'!$J$3:$O$3,0)),"")</f>
        <v>0</v>
      </c>
      <c r="H59" s="379">
        <f>IFERROR(INDEX('AFA-E_ANTC'!$P$5:$P$48,MATCH($B59,'AFA-E_ANTC'!$A$5:$A$48,0)),"")</f>
        <v>1.71002801251579E-2</v>
      </c>
      <c r="I59" s="381">
        <f>IFERROR(INDEX('RESID-E_ANTC'!$M$5:$T$48,MATCH($B59,'RESID-E_ANTC'!$A$5:$A$48,0),MATCH(I$5,'RESID-E_ANTC'!$M$3:$T$3,0)),"")</f>
        <v>0.116677774299976</v>
      </c>
      <c r="J59" s="379">
        <f>IFERROR(INDEX(FNRG_ANTC!$I$4:$I$51,MATCH($B59,FNRG_ANTC!$A$4:$A$51,0)),"")</f>
        <v>0</v>
      </c>
      <c r="K59" s="233">
        <f t="shared" si="0"/>
        <v>0</v>
      </c>
      <c r="L59" s="226">
        <f t="shared" si="1"/>
        <v>0</v>
      </c>
    </row>
    <row r="60" spans="1:12" x14ac:dyDescent="0.25">
      <c r="A60" s="232" t="e">
        <f>IF(ITEMS_Tech_E!#REF!="","",ITEMS_Tech_E!#REF!)</f>
        <v>#REF!</v>
      </c>
      <c r="B60" s="385" t="str">
        <f>IF(ITEMS_Tech_E!D60="","",ITEMS_Tech_E!D60)</f>
        <v>*</v>
      </c>
      <c r="C60" s="232" t="str">
        <f>IF(ITEMS_Tech_E!E60="","",ITEMS_Tech_E!E60)</f>
        <v/>
      </c>
      <c r="D60" s="374"/>
      <c r="E60" s="374"/>
      <c r="F60" s="377">
        <f>IFERROR(INDEX('EFF-E_ANTC'!$C$4:$H$47,MATCH($B60,'EFF-E_ANTC'!$A$4:$A$47,0),MATCH(F$5,'EFF-E_ANTC'!$C$3:$H$3,0)),"")</f>
        <v>6.4348339348895098E-2</v>
      </c>
      <c r="G60" s="379">
        <f>IFERROR(INDEX('AFA-E_ANTC'!$J$5:$O$48,MATCH($B60,'AFA-E_ANTC'!$A$5:$A$48,0),MATCH(G$5,'AFA-E_ANTC'!$J$3:$O$3,0)),"")</f>
        <v>0.42532283795650333</v>
      </c>
      <c r="H60" s="379">
        <f>IFERROR(INDEX('AFA-E_ANTC'!$P$5:$P$48,MATCH($B60,'AFA-E_ANTC'!$A$5:$A$48,0)),"")</f>
        <v>0.06</v>
      </c>
      <c r="I60" s="381">
        <f>IFERROR(INDEX('RESID-E_ANTC'!$M$5:$T$48,MATCH($B60,'RESID-E_ANTC'!$A$5:$A$48,0),MATCH(I$5,'RESID-E_ANTC'!$M$3:$T$3,0)),"")</f>
        <v>25.1952522652347</v>
      </c>
      <c r="J60" s="379">
        <f>IFERROR(INDEX(FNRG_ANTC!$I$4:$I$51,MATCH($B60,FNRG_ANTC!$A$4:$A$51,0)),"")</f>
        <v>9.9920000000000009</v>
      </c>
      <c r="K60" s="233">
        <f t="shared" si="0"/>
        <v>0.6429686067741599</v>
      </c>
      <c r="L60" s="226">
        <f t="shared" si="1"/>
        <v>0.64296697178877849</v>
      </c>
    </row>
    <row r="61" spans="1:12" x14ac:dyDescent="0.25">
      <c r="A61" s="232" t="e">
        <f>IF(ITEMS_Tech_E!#REF!="","",ITEMS_Tech_E!#REF!)</f>
        <v>#REF!</v>
      </c>
      <c r="B61" s="385" t="str">
        <f>IF(ITEMS_Tech_E!D61="","",ITEMS_Tech_E!D61)</f>
        <v>*</v>
      </c>
      <c r="C61" s="232" t="str">
        <f>IF(ITEMS_Tech_E!E61="","",ITEMS_Tech_E!E61)</f>
        <v/>
      </c>
      <c r="D61" s="374"/>
      <c r="E61" s="374"/>
      <c r="F61" s="377">
        <f>IFERROR(INDEX('EFF-E_ANTC'!$C$4:$H$47,MATCH($B61,'EFF-E_ANTC'!$A$4:$A$47,0),MATCH(F$5,'EFF-E_ANTC'!$C$3:$H$3,0)),"")</f>
        <v>6.4348339348895098E-2</v>
      </c>
      <c r="G61" s="379">
        <f>IFERROR(INDEX('AFA-E_ANTC'!$J$5:$O$48,MATCH($B61,'AFA-E_ANTC'!$A$5:$A$48,0),MATCH(G$5,'AFA-E_ANTC'!$J$3:$O$3,0)),"")</f>
        <v>0.42532283795650333</v>
      </c>
      <c r="H61" s="379">
        <f>IFERROR(INDEX('AFA-E_ANTC'!$P$5:$P$48,MATCH($B61,'AFA-E_ANTC'!$A$5:$A$48,0)),"")</f>
        <v>0.06</v>
      </c>
      <c r="I61" s="381">
        <f>IFERROR(INDEX('RESID-E_ANTC'!$M$5:$T$48,MATCH($B61,'RESID-E_ANTC'!$A$5:$A$48,0),MATCH(I$5,'RESID-E_ANTC'!$M$3:$T$3,0)),"")</f>
        <v>25.1952522652347</v>
      </c>
      <c r="J61" s="379">
        <f>IFERROR(INDEX(FNRG_ANTC!$I$4:$I$51,MATCH($B61,FNRG_ANTC!$A$4:$A$51,0)),"")</f>
        <v>9.9920000000000009</v>
      </c>
      <c r="K61" s="233">
        <f t="shared" si="0"/>
        <v>0.6429686067741599</v>
      </c>
      <c r="L61" s="226">
        <f t="shared" si="1"/>
        <v>0.64296697178877849</v>
      </c>
    </row>
    <row r="62" spans="1:12" x14ac:dyDescent="0.25">
      <c r="A62" s="232" t="e">
        <f>IF(ITEMS_Tech_E!#REF!="","",ITEMS_Tech_E!#REF!)</f>
        <v>#REF!</v>
      </c>
      <c r="B62" s="385" t="str">
        <f>IF(ITEMS_Tech_E!D62="","",ITEMS_Tech_E!D62)</f>
        <v>*</v>
      </c>
      <c r="C62" s="232" t="str">
        <f>IF(ITEMS_Tech_E!E62="","",ITEMS_Tech_E!E62)</f>
        <v>Freight Rail</v>
      </c>
      <c r="D62" s="374"/>
      <c r="E62" s="374"/>
      <c r="F62" s="377">
        <f>IFERROR(INDEX('EFF-E_ANTC'!$C$4:$H$47,MATCH($B62,'EFF-E_ANTC'!$A$4:$A$47,0),MATCH(F$5,'EFF-E_ANTC'!$C$3:$H$3,0)),"")</f>
        <v>6.4348339348895098E-2</v>
      </c>
      <c r="G62" s="379">
        <f>IFERROR(INDEX('AFA-E_ANTC'!$J$5:$O$48,MATCH($B62,'AFA-E_ANTC'!$A$5:$A$48,0),MATCH(G$5,'AFA-E_ANTC'!$J$3:$O$3,0)),"")</f>
        <v>0.42532283795650333</v>
      </c>
      <c r="H62" s="379">
        <f>IFERROR(INDEX('AFA-E_ANTC'!$P$5:$P$48,MATCH($B62,'AFA-E_ANTC'!$A$5:$A$48,0)),"")</f>
        <v>0.06</v>
      </c>
      <c r="I62" s="381">
        <f>IFERROR(INDEX('RESID-E_ANTC'!$M$5:$T$48,MATCH($B62,'RESID-E_ANTC'!$A$5:$A$48,0),MATCH(I$5,'RESID-E_ANTC'!$M$3:$T$3,0)),"")</f>
        <v>25.1952522652347</v>
      </c>
      <c r="J62" s="379">
        <f>IFERROR(INDEX(FNRG_ANTC!$I$4:$I$51,MATCH($B62,FNRG_ANTC!$A$4:$A$51,0)),"")</f>
        <v>9.9920000000000009</v>
      </c>
      <c r="K62" s="233">
        <f t="shared" si="0"/>
        <v>0.6429686067741599</v>
      </c>
      <c r="L62" s="226">
        <f t="shared" si="1"/>
        <v>0.64296697178877849</v>
      </c>
    </row>
    <row r="63" spans="1:12" x14ac:dyDescent="0.25">
      <c r="A63" s="232" t="e">
        <f>IF(ITEMS_Tech_E!#REF!="","",ITEMS_Tech_E!#REF!)</f>
        <v>#REF!</v>
      </c>
      <c r="B63" s="385" t="str">
        <f>IF(ITEMS_Tech_E!D63="","",ITEMS_Tech_E!D63)</f>
        <v>TFRCOODS-E</v>
      </c>
      <c r="C63" s="232" t="str">
        <f>IF(ITEMS_Tech_E!E63="","",ITEMS_Tech_E!E63)</f>
        <v>Transport Freight - Rail Corridor Oil Diesel-E</v>
      </c>
      <c r="D63" s="219" t="s">
        <v>411</v>
      </c>
      <c r="E63" s="219" t="s">
        <v>441</v>
      </c>
      <c r="F63" s="377">
        <f>IFERROR(INDEX('EFF-E_ANTC'!$C$4:$H$47,MATCH($B63,'EFF-E_ANTC'!$A$4:$A$47,0),MATCH(F$5,'EFF-E_ANTC'!$C$3:$H$3,0)),"")</f>
        <v>2.8040417913534488</v>
      </c>
      <c r="G63" s="379">
        <f>IFERROR(INDEX('AFA-E_ANTC'!$J$5:$O$48,MATCH($B63,'AFA-E_ANTC'!$A$5:$A$48,0),MATCH(G$5,'AFA-E_ANTC'!$J$3:$O$3,0)),"")</f>
        <v>1</v>
      </c>
      <c r="H63" s="379">
        <f>IFERROR(INDEX('AFA-E_ANTC'!$P$5:$P$48,MATCH($B63,'AFA-E_ANTC'!$A$5:$A$48,0)),"")</f>
        <v>1</v>
      </c>
      <c r="I63" s="381">
        <f>IFERROR(INDEX('RESID-E_ANTC'!$M$5:$T$48,MATCH($B63,'RESID-E_ANTC'!$A$5:$A$48,0),MATCH(I$5,'RESID-E_ANTC'!$M$3:$T$3,0)),"")</f>
        <v>7.1799653230224925</v>
      </c>
      <c r="J63" s="379">
        <f>IFERROR(INDEX(FNRG_ANTC!$I$4:$I$51,MATCH($B63,FNRG_ANTC!$A$4:$A$51,0)),"")</f>
        <v>2.5605771444500771</v>
      </c>
      <c r="K63" s="233">
        <f t="shared" si="0"/>
        <v>7.1799653230224925</v>
      </c>
      <c r="L63" s="226">
        <f t="shared" si="1"/>
        <v>7.1799653230224925</v>
      </c>
    </row>
    <row r="64" spans="1:12" x14ac:dyDescent="0.25">
      <c r="A64" s="232" t="e">
        <f>IF(ITEMS_Tech_E!#REF!="","",ITEMS_Tech_E!#REF!)</f>
        <v>#REF!</v>
      </c>
      <c r="B64" s="385" t="str">
        <f>IF(ITEMS_Tech_E!D64="","",ITEMS_Tech_E!D64)</f>
        <v>TFRCOELC-E</v>
      </c>
      <c r="C64" s="232" t="str">
        <f>IF(ITEMS_Tech_E!E64="","",ITEMS_Tech_E!E64)</f>
        <v>Transport Freight - Rail Corridor Electricity-E</v>
      </c>
      <c r="D64" s="219" t="s">
        <v>412</v>
      </c>
      <c r="E64" s="219" t="s">
        <v>441</v>
      </c>
      <c r="F64" s="377">
        <f>IFERROR(INDEX('EFF-E_ANTC'!$C$4:$H$47,MATCH($B64,'EFF-E_ANTC'!$A$4:$A$47,0),MATCH(F$5,'EFF-E_ANTC'!$C$3:$H$3,0)),"")</f>
        <v>4.0285422116338081</v>
      </c>
      <c r="G64" s="379">
        <f>IFERROR(INDEX('AFA-E_ANTC'!$J$5:$O$48,MATCH($B64,'AFA-E_ANTC'!$A$5:$A$48,0),MATCH(G$5,'AFA-E_ANTC'!$J$3:$O$3,0)),"")</f>
        <v>1</v>
      </c>
      <c r="H64" s="379">
        <f>IFERROR(INDEX('AFA-E_ANTC'!$P$5:$P$48,MATCH($B64,'AFA-E_ANTC'!$A$5:$A$48,0)),"")</f>
        <v>1</v>
      </c>
      <c r="I64" s="381">
        <f>IFERROR(INDEX('RESID-E_ANTC'!$M$5:$T$48,MATCH($B64,'RESID-E_ANTC'!$A$5:$A$48,0),MATCH(I$5,'RESID-E_ANTC'!$M$3:$T$3,0)),"")</f>
        <v>14.820034676977507</v>
      </c>
      <c r="J64" s="379">
        <f>IFERROR(INDEX(FNRG_ANTC!$I$4:$I$51,MATCH($B64,FNRG_ANTC!$A$4:$A$51,0)),"")</f>
        <v>3.6787586919604651</v>
      </c>
      <c r="K64" s="233">
        <f t="shared" si="0"/>
        <v>14.820034676977507</v>
      </c>
      <c r="L64" s="226">
        <f t="shared" si="1"/>
        <v>14.820034676977507</v>
      </c>
    </row>
    <row r="65" spans="1:12" x14ac:dyDescent="0.25">
      <c r="A65" s="232" t="e">
        <f>IF(ITEMS_Tech_E!#REF!="","",ITEMS_Tech_E!#REF!)</f>
        <v>#REF!</v>
      </c>
      <c r="B65" s="385" t="str">
        <f>IF(ITEMS_Tech_E!D65="","",ITEMS_Tech_E!D65)</f>
        <v>TFROTODS-E</v>
      </c>
      <c r="C65" s="232" t="str">
        <f>IF(ITEMS_Tech_E!E65="","",ITEMS_Tech_E!E65)</f>
        <v>Transport Freight - Rail Other Oil Diesel-E</v>
      </c>
      <c r="D65" s="219" t="s">
        <v>411</v>
      </c>
      <c r="E65" s="219" t="s">
        <v>443</v>
      </c>
      <c r="F65" s="377">
        <f>IFERROR(INDEX('EFF-E_ANTC'!$C$4:$H$47,MATCH($B65,'EFF-E_ANTC'!$A$4:$A$47,0),MATCH(F$5,'EFF-E_ANTC'!$C$3:$H$3,0)),"")</f>
        <v>4.2248786996646812</v>
      </c>
      <c r="G65" s="379">
        <f>IFERROR(INDEX('AFA-E_ANTC'!$J$5:$O$48,MATCH($B65,'AFA-E_ANTC'!$A$5:$A$48,0),MATCH(G$5,'AFA-E_ANTC'!$J$3:$O$3,0)),"")</f>
        <v>1</v>
      </c>
      <c r="H65" s="379">
        <f>IFERROR(INDEX('AFA-E_ANTC'!$P$5:$P$48,MATCH($B65,'AFA-E_ANTC'!$A$5:$A$48,0)),"")</f>
        <v>1</v>
      </c>
      <c r="I65" s="381">
        <f>IFERROR(INDEX('RESID-E_ANTC'!$M$5:$T$48,MATCH($B65,'RESID-E_ANTC'!$A$5:$A$48,0),MATCH(I$5,'RESID-E_ANTC'!$M$3:$T$3,0)),"")</f>
        <v>5.3170222384328483</v>
      </c>
      <c r="J65" s="379">
        <f>IFERROR(INDEX(FNRG_ANTC!$I$4:$I$51,MATCH($B65,FNRG_ANTC!$A$4:$A$51,0)),"")</f>
        <v>1.2585029337895188</v>
      </c>
      <c r="K65" s="233">
        <f t="shared" si="0"/>
        <v>5.3170222384328483</v>
      </c>
      <c r="L65" s="226">
        <f t="shared" si="1"/>
        <v>5.3170222384328483</v>
      </c>
    </row>
    <row r="66" spans="1:12" x14ac:dyDescent="0.25">
      <c r="A66" s="232" t="e">
        <f>IF(ITEMS_Tech_E!#REF!="","",ITEMS_Tech_E!#REF!)</f>
        <v>#REF!</v>
      </c>
      <c r="B66" s="385" t="str">
        <f>IF(ITEMS_Tech_E!D66="","",ITEMS_Tech_E!D66)</f>
        <v>TFROTELC-E</v>
      </c>
      <c r="C66" s="232" t="str">
        <f>IF(ITEMS_Tech_E!E66="","",ITEMS_Tech_E!E66)</f>
        <v>Transport Freight - Rail Other Electricity-E</v>
      </c>
      <c r="D66" s="219" t="s">
        <v>412</v>
      </c>
      <c r="E66" s="219" t="s">
        <v>443</v>
      </c>
      <c r="F66" s="377">
        <f>IFERROR(INDEX('EFF-E_ANTC'!$C$4:$H$47,MATCH($B66,'EFF-E_ANTC'!$A$4:$A$47,0),MATCH(F$5,'EFF-E_ANTC'!$C$3:$H$3,0)),"")</f>
        <v>12.071081999041946</v>
      </c>
      <c r="G66" s="379">
        <f>IFERROR(INDEX('AFA-E_ANTC'!$J$5:$O$48,MATCH($B66,'AFA-E_ANTC'!$A$5:$A$48,0),MATCH(G$5,'AFA-E_ANTC'!$J$3:$O$3,0)),"")</f>
        <v>1</v>
      </c>
      <c r="H66" s="379">
        <f>IFERROR(INDEX('AFA-E_ANTC'!$P$5:$P$48,MATCH($B66,'AFA-E_ANTC'!$A$5:$A$48,0)),"")</f>
        <v>1</v>
      </c>
      <c r="I66" s="381">
        <f>IFERROR(INDEX('RESID-E_ANTC'!$M$5:$T$48,MATCH($B66,'RESID-E_ANTC'!$A$5:$A$48,0),MATCH(I$5,'RESID-E_ANTC'!$M$3:$T$3,0)),"")</f>
        <v>21.825483275883826</v>
      </c>
      <c r="J66" s="379">
        <f>IFERROR(INDEX(FNRG_ANTC!$I$4:$I$51,MATCH($B66,FNRG_ANTC!$A$4:$A$51,0)),"")</f>
        <v>1.8080801105995357</v>
      </c>
      <c r="K66" s="233">
        <f t="shared" si="0"/>
        <v>21.825483275883826</v>
      </c>
      <c r="L66" s="226">
        <f t="shared" si="1"/>
        <v>21.825483275883826</v>
      </c>
    </row>
    <row r="67" spans="1:12" x14ac:dyDescent="0.25">
      <c r="A67" s="232" t="e">
        <f>IF(ITEMS_Tech_E!#REF!="","",ITEMS_Tech_E!#REF!)</f>
        <v>#REF!</v>
      </c>
      <c r="B67" s="385" t="str">
        <f>IF(ITEMS_Tech_E!D67="","",ITEMS_Tech_E!D67)</f>
        <v>TFREXODSR-E</v>
      </c>
      <c r="C67" s="232" t="str">
        <f>IF(ITEMS_Tech_E!E67="","",ITEMS_Tech_E!E67)</f>
        <v>Transport Freight - Rail Export (bulk mining) Oil Diesel-E</v>
      </c>
      <c r="D67" s="219" t="s">
        <v>411</v>
      </c>
      <c r="E67" s="219" t="s">
        <v>445</v>
      </c>
      <c r="F67" s="377">
        <f>IFERROR(INDEX('EFF-E_ANTC'!$C$4:$H$47,MATCH($B67,'EFF-E_ANTC'!$A$4:$A$47,0),MATCH(F$5,'EFF-E_ANTC'!$C$3:$H$3,0)),"")</f>
        <v>6.545125793438701</v>
      </c>
      <c r="G67" s="379">
        <f>IFERROR(INDEX('AFA-E_ANTC'!$J$5:$O$48,MATCH($B67,'AFA-E_ANTC'!$A$5:$A$48,0),MATCH(G$5,'AFA-E_ANTC'!$J$3:$O$3,0)),"")</f>
        <v>1</v>
      </c>
      <c r="H67" s="379">
        <f>IFERROR(INDEX('AFA-E_ANTC'!$P$5:$P$48,MATCH($B67,'AFA-E_ANTC'!$A$5:$A$48,0)),"")</f>
        <v>1</v>
      </c>
      <c r="I67" s="381">
        <f>IFERROR(INDEX('RESID-E_ANTC'!$M$5:$T$48,MATCH($B67,'RESID-E_ANTC'!$A$5:$A$48,0),MATCH(I$5,'RESID-E_ANTC'!$M$3:$T$3,0)),"")</f>
        <v>17.370351535916075</v>
      </c>
      <c r="J67" s="379">
        <f>IFERROR(INDEX(FNRG_ANTC!$I$4:$I$51,MATCH($B67,FNRG_ANTC!$A$4:$A$51,0)),"")</f>
        <v>2.6539370035224303</v>
      </c>
      <c r="K67" s="233">
        <f t="shared" si="0"/>
        <v>17.370351535916075</v>
      </c>
      <c r="L67" s="226">
        <f t="shared" si="1"/>
        <v>17.370351535916075</v>
      </c>
    </row>
    <row r="68" spans="1:12" x14ac:dyDescent="0.25">
      <c r="A68" s="232" t="e">
        <f>IF(ITEMS_Tech_E!#REF!="","",ITEMS_Tech_E!#REF!)</f>
        <v>#REF!</v>
      </c>
      <c r="B68" s="385" t="str">
        <f>IF(ITEMS_Tech_E!D68="","",ITEMS_Tech_E!D68)</f>
        <v>TFREXELCR-E</v>
      </c>
      <c r="C68" s="232" t="str">
        <f>IF(ITEMS_Tech_E!E68="","",ITEMS_Tech_E!E68)</f>
        <v>Transport Freight - Rail Export (bulk mining) Electricity-E</v>
      </c>
      <c r="D68" s="219" t="s">
        <v>412</v>
      </c>
      <c r="E68" s="219" t="s">
        <v>445</v>
      </c>
      <c r="F68" s="377">
        <f>IFERROR(INDEX('EFF-E_ANTC'!$C$4:$H$47,MATCH($B68,'EFF-E_ANTC'!$A$4:$A$47,0),MATCH(F$5,'EFF-E_ANTC'!$C$3:$H$3,0)),"")</f>
        <v>18.700359409824859</v>
      </c>
      <c r="G68" s="379">
        <f>IFERROR(INDEX('AFA-E_ANTC'!$J$5:$O$48,MATCH($B68,'AFA-E_ANTC'!$A$5:$A$48,0),MATCH(G$5,'AFA-E_ANTC'!$J$3:$O$3,0)),"")</f>
        <v>1</v>
      </c>
      <c r="H68" s="379">
        <f>IFERROR(INDEX('AFA-E_ANTC'!$P$5:$P$48,MATCH($B68,'AFA-E_ANTC'!$A$5:$A$48,0)),"")</f>
        <v>1</v>
      </c>
      <c r="I68" s="381">
        <f>IFERROR(INDEX('RESID-E_ANTC'!$M$5:$T$48,MATCH($B68,'RESID-E_ANTC'!$A$5:$A$48,0),MATCH(I$5,'RESID-E_ANTC'!$M$3:$T$3,0)),"")</f>
        <v>71.302375642329608</v>
      </c>
      <c r="J68" s="379">
        <f>IFERROR(INDEX(FNRG_ANTC!$I$4:$I$51,MATCH($B68,FNRG_ANTC!$A$4:$A$51,0)),"")</f>
        <v>3.8128879814399999</v>
      </c>
      <c r="K68" s="233">
        <f t="shared" si="0"/>
        <v>71.302375642329608</v>
      </c>
      <c r="L68" s="226">
        <f t="shared" si="1"/>
        <v>71.302375642329608</v>
      </c>
    </row>
    <row r="69" spans="1:12" x14ac:dyDescent="0.25">
      <c r="A69" s="232" t="e">
        <f>IF(ITEMS_Tech_E!#REF!="","",ITEMS_Tech_E!#REF!)</f>
        <v>#REF!</v>
      </c>
      <c r="B69" s="385" t="str">
        <f>IF(ITEMS_Tech_E!D69="","",ITEMS_Tech_E!D69)</f>
        <v>*</v>
      </c>
      <c r="C69" s="232" t="str">
        <f>IF(ITEMS_Tech_E!E69="","",ITEMS_Tech_E!E69)</f>
        <v/>
      </c>
      <c r="D69" s="374"/>
      <c r="E69" s="374"/>
      <c r="F69" s="377">
        <f>IFERROR(INDEX('EFF-E_ANTC'!$C$4:$H$47,MATCH($B69,'EFF-E_ANTC'!$A$4:$A$47,0),MATCH(F$5,'EFF-E_ANTC'!$C$3:$H$3,0)),"")</f>
        <v>6.4348339348895098E-2</v>
      </c>
      <c r="G69" s="379">
        <f>IFERROR(INDEX('AFA-E_ANTC'!$J$5:$O$48,MATCH($B69,'AFA-E_ANTC'!$A$5:$A$48,0),MATCH(G$5,'AFA-E_ANTC'!$J$3:$O$3,0)),"")</f>
        <v>0.42532283795650333</v>
      </c>
      <c r="H69" s="379">
        <f>IFERROR(INDEX('AFA-E_ANTC'!$P$5:$P$48,MATCH($B69,'AFA-E_ANTC'!$A$5:$A$48,0)),"")</f>
        <v>0.06</v>
      </c>
      <c r="I69" s="381">
        <f>IFERROR(INDEX('RESID-E_ANTC'!$M$5:$T$48,MATCH($B69,'RESID-E_ANTC'!$A$5:$A$48,0),MATCH(I$5,'RESID-E_ANTC'!$M$3:$T$3,0)),"")</f>
        <v>25.1952522652347</v>
      </c>
      <c r="J69" s="379">
        <f>IFERROR(INDEX(FNRG_ANTC!$I$4:$I$51,MATCH($B69,FNRG_ANTC!$A$4:$A$51,0)),"")</f>
        <v>9.9920000000000009</v>
      </c>
      <c r="K69" s="233">
        <f t="shared" si="0"/>
        <v>0.6429686067741599</v>
      </c>
      <c r="L69" s="226">
        <f t="shared" si="1"/>
        <v>0.64296697178877849</v>
      </c>
    </row>
    <row r="70" spans="1:12" x14ac:dyDescent="0.25">
      <c r="A70" s="232" t="e">
        <f>IF(ITEMS_Tech_E!#REF!="","",ITEMS_Tech_E!#REF!)</f>
        <v>#REF!</v>
      </c>
      <c r="B70" s="385" t="str">
        <f>IF(ITEMS_Tech_E!D70="","",ITEMS_Tech_E!D70)</f>
        <v>*</v>
      </c>
      <c r="C70" s="232" t="str">
        <f>IF(ITEMS_Tech_E!E70="","",ITEMS_Tech_E!E70)</f>
        <v/>
      </c>
      <c r="D70" s="374"/>
      <c r="E70" s="374"/>
      <c r="F70" s="377">
        <f>IFERROR(INDEX('EFF-E_ANTC'!$C$4:$H$47,MATCH($B70,'EFF-E_ANTC'!$A$4:$A$47,0),MATCH(F$5,'EFF-E_ANTC'!$C$3:$H$3,0)),"")</f>
        <v>6.4348339348895098E-2</v>
      </c>
      <c r="G70" s="379">
        <f>IFERROR(INDEX('AFA-E_ANTC'!$J$5:$O$48,MATCH($B70,'AFA-E_ANTC'!$A$5:$A$48,0),MATCH(G$5,'AFA-E_ANTC'!$J$3:$O$3,0)),"")</f>
        <v>0.42532283795650333</v>
      </c>
      <c r="H70" s="379">
        <f>IFERROR(INDEX('AFA-E_ANTC'!$P$5:$P$48,MATCH($B70,'AFA-E_ANTC'!$A$5:$A$48,0)),"")</f>
        <v>0.06</v>
      </c>
      <c r="I70" s="381">
        <f>IFERROR(INDEX('RESID-E_ANTC'!$M$5:$T$48,MATCH($B70,'RESID-E_ANTC'!$A$5:$A$48,0),MATCH(I$5,'RESID-E_ANTC'!$M$3:$T$3,0)),"")</f>
        <v>25.1952522652347</v>
      </c>
      <c r="J70" s="379">
        <f>IFERROR(INDEX(FNRG_ANTC!$I$4:$I$51,MATCH($B70,FNRG_ANTC!$A$4:$A$51,0)),"")</f>
        <v>9.9920000000000009</v>
      </c>
      <c r="K70" s="233">
        <f t="shared" si="0"/>
        <v>0.6429686067741599</v>
      </c>
      <c r="L70" s="226">
        <f t="shared" si="1"/>
        <v>0.64296697178877849</v>
      </c>
    </row>
    <row r="71" spans="1:12" x14ac:dyDescent="0.25">
      <c r="A71" s="232" t="e">
        <f>IF(ITEMS_Tech_E!#REF!="","",ITEMS_Tech_E!#REF!)</f>
        <v>#REF!</v>
      </c>
      <c r="B71" s="385" t="str">
        <f>IF(ITEMS_Tech_E!D71="","",ITEMS_Tech_E!D71)</f>
        <v>*</v>
      </c>
      <c r="C71" s="232" t="str">
        <f>IF(ITEMS_Tech_E!E71="","",ITEMS_Tech_E!E71)</f>
        <v/>
      </c>
      <c r="D71" s="374"/>
      <c r="E71" s="374"/>
      <c r="F71" s="377">
        <f>IFERROR(INDEX('EFF-E_ANTC'!$C$4:$H$47,MATCH($B71,'EFF-E_ANTC'!$A$4:$A$47,0),MATCH(F$5,'EFF-E_ANTC'!$C$3:$H$3,0)),"")</f>
        <v>6.4348339348895098E-2</v>
      </c>
      <c r="G71" s="379">
        <f>IFERROR(INDEX('AFA-E_ANTC'!$J$5:$O$48,MATCH($B71,'AFA-E_ANTC'!$A$5:$A$48,0),MATCH(G$5,'AFA-E_ANTC'!$J$3:$O$3,0)),"")</f>
        <v>0.42532283795650333</v>
      </c>
      <c r="H71" s="379">
        <f>IFERROR(INDEX('AFA-E_ANTC'!$P$5:$P$48,MATCH($B71,'AFA-E_ANTC'!$A$5:$A$48,0)),"")</f>
        <v>0.06</v>
      </c>
      <c r="I71" s="381">
        <f>IFERROR(INDEX('RESID-E_ANTC'!$M$5:$T$48,MATCH($B71,'RESID-E_ANTC'!$A$5:$A$48,0),MATCH(I$5,'RESID-E_ANTC'!$M$3:$T$3,0)),"")</f>
        <v>25.1952522652347</v>
      </c>
      <c r="J71" s="379">
        <f>IFERROR(INDEX(FNRG_ANTC!$I$4:$I$51,MATCH($B71,FNRG_ANTC!$A$4:$A$51,0)),"")</f>
        <v>9.9920000000000009</v>
      </c>
      <c r="K71" s="233">
        <f t="shared" si="0"/>
        <v>0.6429686067741599</v>
      </c>
      <c r="L71" s="226">
        <f t="shared" si="1"/>
        <v>0.64296697178877849</v>
      </c>
    </row>
    <row r="72" spans="1:12" x14ac:dyDescent="0.25">
      <c r="A72" s="232" t="e">
        <f>IF(ITEMS_Tech_E!#REF!="","",ITEMS_Tech_E!#REF!)</f>
        <v>#REF!</v>
      </c>
      <c r="B72" s="385" t="str">
        <f>IF(ITEMS_Tech_E!D72="","",ITEMS_Tech_E!D72)</f>
        <v>*</v>
      </c>
      <c r="C72" s="232" t="str">
        <f>IF(ITEMS_Tech_E!E72="","",ITEMS_Tech_E!E72)</f>
        <v>Transport Other</v>
      </c>
      <c r="D72" s="374"/>
      <c r="E72" s="374"/>
      <c r="F72" s="377">
        <f>IFERROR(INDEX('EFF-E_ANTC'!$C$4:$H$47,MATCH($B72,'EFF-E_ANTC'!$A$4:$A$47,0),MATCH(F$5,'EFF-E_ANTC'!$C$3:$H$3,0)),"")</f>
        <v>6.4348339348895098E-2</v>
      </c>
      <c r="G72" s="379">
        <f>IFERROR(INDEX('AFA-E_ANTC'!$J$5:$O$48,MATCH($B72,'AFA-E_ANTC'!$A$5:$A$48,0),MATCH(G$5,'AFA-E_ANTC'!$J$3:$O$3,0)),"")</f>
        <v>0.42532283795650333</v>
      </c>
      <c r="H72" s="379">
        <f>IFERROR(INDEX('AFA-E_ANTC'!$P$5:$P$48,MATCH($B72,'AFA-E_ANTC'!$A$5:$A$48,0)),"")</f>
        <v>0.06</v>
      </c>
      <c r="I72" s="381">
        <f>IFERROR(INDEX('RESID-E_ANTC'!$M$5:$T$48,MATCH($B72,'RESID-E_ANTC'!$A$5:$A$48,0),MATCH(I$5,'RESID-E_ANTC'!$M$3:$T$3,0)),"")</f>
        <v>25.1952522652347</v>
      </c>
      <c r="J72" s="379">
        <f>IFERROR(INDEX(FNRG_ANTC!$I$4:$I$51,MATCH($B72,FNRG_ANTC!$A$4:$A$51,0)),"")</f>
        <v>9.9920000000000009</v>
      </c>
      <c r="K72" s="233">
        <f t="shared" ref="K72:K82" si="2">IFERROR(F72*J72,"")</f>
        <v>0.6429686067741599</v>
      </c>
      <c r="L72" s="226">
        <f t="shared" ref="L72:L82" si="3">IFERROR(G72*H72*I72,"")</f>
        <v>0.64296697178877849</v>
      </c>
    </row>
    <row r="73" spans="1:12" x14ac:dyDescent="0.25">
      <c r="A73" s="232" t="e">
        <f>IF(ITEMS_Tech_E!#REF!="","",ITEMS_Tech_E!#REF!)</f>
        <v>#REF!</v>
      </c>
      <c r="B73" s="385" t="str">
        <f>IF(ITEMS_Tech_E!D73="","",ITEMS_Tech_E!D73)</f>
        <v>TFPIPELC-E</v>
      </c>
      <c r="C73" s="232" t="str">
        <f>IF(ITEMS_Tech_E!E73="","",ITEMS_Tech_E!E73)</f>
        <v>Transport Other - Pipeline Electricity-E</v>
      </c>
      <c r="D73" s="219" t="s">
        <v>412</v>
      </c>
      <c r="E73" s="219" t="s">
        <v>448</v>
      </c>
      <c r="F73" s="377">
        <f>IFERROR(INDEX('EFF-E_ANTC'!$C$4:$H$47,MATCH($B73,'EFF-E_ANTC'!$A$4:$A$47,0),MATCH(F$5,'EFF-E_ANTC'!$C$3:$H$3,0)),"")</f>
        <v>1</v>
      </c>
      <c r="G73" s="379">
        <f>IFERROR(INDEX('AFA-E_ANTC'!$J$5:$O$48,MATCH($B73,'AFA-E_ANTC'!$A$5:$A$48,0),MATCH(G$5,'AFA-E_ANTC'!$J$3:$O$3,0)),"")</f>
        <v>1</v>
      </c>
      <c r="H73" s="379">
        <f>IFERROR(INDEX('AFA-E_ANTC'!$P$5:$P$48,MATCH($B73,'AFA-E_ANTC'!$A$5:$A$48,0)),"")</f>
        <v>1</v>
      </c>
      <c r="I73" s="381">
        <f>IFERROR(INDEX('RESID-E_ANTC'!$M$5:$T$48,MATCH($B73,'RESID-E_ANTC'!$A$5:$A$48,0),MATCH(I$5,'RESID-E_ANTC'!$M$3:$T$3,0)),"")</f>
        <v>1.641128256</v>
      </c>
      <c r="J73" s="379">
        <f>IFERROR(INDEX(FNRG_ANTC!$I$4:$I$51,MATCH($B73,FNRG_ANTC!$A$4:$A$51,0)),"")</f>
        <v>1.641128256</v>
      </c>
      <c r="K73" s="233">
        <f t="shared" si="2"/>
        <v>1.641128256</v>
      </c>
      <c r="L73" s="226">
        <f t="shared" si="3"/>
        <v>1.641128256</v>
      </c>
    </row>
    <row r="74" spans="1:12" x14ac:dyDescent="0.25">
      <c r="A74" s="232" t="e">
        <f>IF(ITEMS_Tech_E!#REF!="","",ITEMS_Tech_E!#REF!)</f>
        <v>#REF!</v>
      </c>
      <c r="B74" s="385" t="str">
        <f>IF(ITEMS_Tech_E!D74="","",ITEMS_Tech_E!D74)</f>
        <v>TAIJETOKE-E</v>
      </c>
      <c r="C74" s="232" t="str">
        <f>IF(ITEMS_Tech_E!E74="","",ITEMS_Tech_E!E74)</f>
        <v>Transport Other -  Aviation Int Jet Fuel -E</v>
      </c>
      <c r="D74" s="219" t="s">
        <v>802</v>
      </c>
      <c r="E74" s="219" t="s">
        <v>450</v>
      </c>
      <c r="F74" s="377">
        <f>IFERROR(INDEX('EFF-E_ANTC'!$C$4:$H$47,MATCH($B74,'EFF-E_ANTC'!$A$4:$A$47,0),MATCH(F$5,'EFF-E_ANTC'!$C$3:$H$3,0)),"")</f>
        <v>1</v>
      </c>
      <c r="G74" s="379">
        <f>IFERROR(INDEX('AFA-E_ANTC'!$J$5:$O$48,MATCH($B74,'AFA-E_ANTC'!$A$5:$A$48,0),MATCH(G$5,'AFA-E_ANTC'!$J$3:$O$3,0)),"")</f>
        <v>1</v>
      </c>
      <c r="H74" s="379">
        <f>IFERROR(INDEX('AFA-E_ANTC'!$P$5:$P$48,MATCH($B74,'AFA-E_ANTC'!$A$5:$A$48,0)),"")</f>
        <v>1</v>
      </c>
      <c r="I74" s="381">
        <f>IFERROR(INDEX('RESID-E_ANTC'!$M$5:$T$48,MATCH($B74,'RESID-E_ANTC'!$A$5:$A$48,0),MATCH(I$5,'RESID-E_ANTC'!$M$3:$T$3,0)),"")</f>
        <v>68.938999999999993</v>
      </c>
      <c r="J74" s="379">
        <f>IFERROR(INDEX(FNRG_ANTC!$I$4:$I$51,MATCH($B74,FNRG_ANTC!$A$4:$A$51,0)),"")</f>
        <v>68.938999999999993</v>
      </c>
      <c r="K74" s="233">
        <f t="shared" si="2"/>
        <v>68.938999999999993</v>
      </c>
      <c r="L74" s="226">
        <f t="shared" si="3"/>
        <v>68.938999999999993</v>
      </c>
    </row>
    <row r="75" spans="1:12" x14ac:dyDescent="0.25">
      <c r="A75" s="232" t="e">
        <f>IF(ITEMS_Tech_E!#REF!="","",ITEMS_Tech_E!#REF!)</f>
        <v>#REF!</v>
      </c>
      <c r="B75" s="385" t="str">
        <f>IF(ITEMS_Tech_E!D75="","",ITEMS_Tech_E!D75)</f>
        <v>TADJETOKE-E</v>
      </c>
      <c r="C75" s="232" t="str">
        <f>IF(ITEMS_Tech_E!E75="","",ITEMS_Tech_E!E75)</f>
        <v>Transport Other -  Aviation Dom Jet Fuel -E</v>
      </c>
      <c r="D75" s="219" t="s">
        <v>802</v>
      </c>
      <c r="E75" s="219" t="s">
        <v>452</v>
      </c>
      <c r="F75" s="377">
        <f>IFERROR(INDEX('EFF-E_ANTC'!$C$4:$H$47,MATCH($B75,'EFF-E_ANTC'!$A$4:$A$47,0),MATCH(F$5,'EFF-E_ANTC'!$C$3:$H$3,0)),"")</f>
        <v>1</v>
      </c>
      <c r="G75" s="379">
        <f>IFERROR(INDEX('AFA-E_ANTC'!$J$5:$O$48,MATCH($B75,'AFA-E_ANTC'!$A$5:$A$48,0),MATCH(G$5,'AFA-E_ANTC'!$J$3:$O$3,0)),"")</f>
        <v>1</v>
      </c>
      <c r="H75" s="379">
        <f>IFERROR(INDEX('AFA-E_ANTC'!$P$5:$P$48,MATCH($B75,'AFA-E_ANTC'!$A$5:$A$48,0)),"")</f>
        <v>1</v>
      </c>
      <c r="I75" s="381">
        <f>IFERROR(INDEX('RESID-E_ANTC'!$M$5:$T$48,MATCH($B75,'RESID-E_ANTC'!$A$5:$A$48,0),MATCH(I$5,'RESID-E_ANTC'!$M$3:$T$3,0)),"")</f>
        <v>20.483000000000001</v>
      </c>
      <c r="J75" s="379">
        <f>IFERROR(INDEX(FNRG_ANTC!$I$4:$I$51,MATCH($B75,FNRG_ANTC!$A$4:$A$51,0)),"")</f>
        <v>20.483000000000001</v>
      </c>
      <c r="K75" s="233">
        <f t="shared" si="2"/>
        <v>20.483000000000001</v>
      </c>
      <c r="L75" s="226">
        <f t="shared" si="3"/>
        <v>20.483000000000001</v>
      </c>
    </row>
    <row r="76" spans="1:12" x14ac:dyDescent="0.25">
      <c r="A76" s="232" t="e">
        <f>IF(ITEMS_Tech_E!#REF!="","",ITEMS_Tech_E!#REF!)</f>
        <v>#REF!</v>
      </c>
      <c r="B76" s="385" t="str">
        <f>IF(ITEMS_Tech_E!D76="","",ITEMS_Tech_E!D76)</f>
        <v>TAOAGOAG-E</v>
      </c>
      <c r="C76" s="232" t="str">
        <f>IF(ITEMS_Tech_E!E76="","",ITEMS_Tech_E!E76)</f>
        <v>Transport Other - Aviation Gasoline-E</v>
      </c>
      <c r="D76" s="219" t="s">
        <v>800</v>
      </c>
      <c r="E76" s="219" t="s">
        <v>454</v>
      </c>
      <c r="F76" s="377">
        <f>IFERROR(INDEX('EFF-E_ANTC'!$C$4:$H$47,MATCH($B76,'EFF-E_ANTC'!$A$4:$A$47,0),MATCH(F$5,'EFF-E_ANTC'!$C$3:$H$3,0)),"")</f>
        <v>1</v>
      </c>
      <c r="G76" s="379">
        <f>IFERROR(INDEX('AFA-E_ANTC'!$J$5:$O$48,MATCH($B76,'AFA-E_ANTC'!$A$5:$A$48,0),MATCH(G$5,'AFA-E_ANTC'!$J$3:$O$3,0)),"")</f>
        <v>1</v>
      </c>
      <c r="H76" s="379">
        <f>IFERROR(INDEX('AFA-E_ANTC'!$P$5:$P$48,MATCH($B76,'AFA-E_ANTC'!$A$5:$A$48,0)),"")</f>
        <v>1</v>
      </c>
      <c r="I76" s="381">
        <f>IFERROR(INDEX('RESID-E_ANTC'!$M$5:$T$48,MATCH($B76,'RESID-E_ANTC'!$A$5:$A$48,0),MATCH(I$5,'RESID-E_ANTC'!$M$3:$T$3,0)),"")</f>
        <v>0.82200000000000006</v>
      </c>
      <c r="J76" s="379">
        <f>IFERROR(INDEX(FNRG_ANTC!$I$4:$I$51,MATCH($B76,FNRG_ANTC!$A$4:$A$51,0)),"")</f>
        <v>0.82200000000000006</v>
      </c>
      <c r="K76" s="233">
        <f t="shared" si="2"/>
        <v>0.82200000000000006</v>
      </c>
      <c r="L76" s="226">
        <f t="shared" si="3"/>
        <v>0.82200000000000006</v>
      </c>
    </row>
    <row r="77" spans="1:12" x14ac:dyDescent="0.25">
      <c r="A77" s="232" t="e">
        <f>IF(ITEMS_Tech_E!#REF!="","",ITEMS_Tech_E!#REF!)</f>
        <v>#REF!</v>
      </c>
      <c r="B77" s="385" t="str">
        <f>IF(ITEMS_Tech_E!D77="","",ITEMS_Tech_E!D77)</f>
        <v>TSHFOOHF-E</v>
      </c>
      <c r="C77" s="232" t="str">
        <f>IF(ITEMS_Tech_E!E77="","",ITEMS_Tech_E!E77)</f>
        <v>Transport Other - HFO-E</v>
      </c>
      <c r="D77" s="219" t="s">
        <v>801</v>
      </c>
      <c r="E77" s="219" t="s">
        <v>456</v>
      </c>
      <c r="F77" s="377">
        <f>IFERROR(INDEX('EFF-E_ANTC'!$C$4:$H$47,MATCH($B77,'EFF-E_ANTC'!$A$4:$A$47,0),MATCH(F$5,'EFF-E_ANTC'!$C$3:$H$3,0)),"")</f>
        <v>1</v>
      </c>
      <c r="G77" s="379">
        <f>IFERROR(INDEX('AFA-E_ANTC'!$J$5:$O$48,MATCH($B77,'AFA-E_ANTC'!$A$5:$A$48,0),MATCH(G$5,'AFA-E_ANTC'!$J$3:$O$3,0)),"")</f>
        <v>1</v>
      </c>
      <c r="H77" s="379">
        <f>IFERROR(INDEX('AFA-E_ANTC'!$P$5:$P$48,MATCH($B77,'AFA-E_ANTC'!$A$5:$A$48,0)),"")</f>
        <v>1</v>
      </c>
      <c r="I77" s="381">
        <f>IFERROR(INDEX('RESID-E_ANTC'!$M$5:$T$48,MATCH($B77,'RESID-E_ANTC'!$A$5:$A$48,0),MATCH(I$5,'RESID-E_ANTC'!$M$3:$T$3,0)),"")</f>
        <v>2.77</v>
      </c>
      <c r="J77" s="379">
        <f>IFERROR(INDEX(FNRG_ANTC!$I$4:$I$51,MATCH($B77,FNRG_ANTC!$A$4:$A$51,0)),"")</f>
        <v>2.77</v>
      </c>
      <c r="K77" s="233">
        <f t="shared" si="2"/>
        <v>2.77</v>
      </c>
      <c r="L77" s="226">
        <f t="shared" si="3"/>
        <v>2.77</v>
      </c>
    </row>
    <row r="78" spans="1:12" x14ac:dyDescent="0.25">
      <c r="A78" s="232" t="e">
        <f>IF(ITEMS_Tech_E!#REF!="","",ITEMS_Tech_E!#REF!)</f>
        <v>#REF!</v>
      </c>
      <c r="B78" s="385" t="str">
        <f>IF(ITEMS_Tech_E!D78="","",ITEMS_Tech_E!D78)</f>
        <v>*</v>
      </c>
      <c r="C78" s="232" t="str">
        <f>IF(ITEMS_Tech_E!E78="","",ITEMS_Tech_E!E78)</f>
        <v/>
      </c>
      <c r="D78" s="374"/>
      <c r="E78" s="374"/>
      <c r="F78" s="377">
        <f>IFERROR(INDEX('EFF-E_ANTC'!$C$4:$H$47,MATCH($B78,'EFF-E_ANTC'!$A$4:$A$47,0),MATCH(F$5,'EFF-E_ANTC'!$C$3:$H$3,0)),"")</f>
        <v>6.4348339348895098E-2</v>
      </c>
      <c r="G78" s="379">
        <f>IFERROR(INDEX('AFA-E_ANTC'!$J$5:$O$48,MATCH($B78,'AFA-E_ANTC'!$A$5:$A$48,0),MATCH(G$5,'AFA-E_ANTC'!$J$3:$O$3,0)),"")</f>
        <v>0.42532283795650333</v>
      </c>
      <c r="H78" s="379">
        <f>IFERROR(INDEX('AFA-E_ANTC'!$P$5:$P$48,MATCH($B78,'AFA-E_ANTC'!$A$5:$A$48,0)),"")</f>
        <v>0.06</v>
      </c>
      <c r="I78" s="381">
        <f>IFERROR(INDEX('RESID-E_ANTC'!$M$5:$T$48,MATCH($B78,'RESID-E_ANTC'!$A$5:$A$48,0),MATCH(I$5,'RESID-E_ANTC'!$M$3:$T$3,0)),"")</f>
        <v>25.1952522652347</v>
      </c>
      <c r="J78" s="379">
        <f>IFERROR(INDEX(FNRG_ANTC!$I$4:$I$51,MATCH($B78,FNRG_ANTC!$A$4:$A$51,0)),"")</f>
        <v>9.9920000000000009</v>
      </c>
      <c r="K78" s="233">
        <f t="shared" si="2"/>
        <v>0.6429686067741599</v>
      </c>
      <c r="L78" s="226">
        <f t="shared" si="3"/>
        <v>0.64296697178877849</v>
      </c>
    </row>
    <row r="79" spans="1:12" x14ac:dyDescent="0.25">
      <c r="A79" s="232" t="e">
        <f>IF(ITEMS_Tech_E!#REF!="","",ITEMS_Tech_E!#REF!)</f>
        <v>#REF!</v>
      </c>
      <c r="B79" s="385" t="str">
        <f>IF(ITEMS_Tech_E!D78="","",ITEMS_Tech_E!D78)</f>
        <v>*</v>
      </c>
      <c r="C79" s="232" t="str">
        <f>IF(ITEMS_Tech_E!E78="","",ITEMS_Tech_E!E78)</f>
        <v/>
      </c>
      <c r="D79" s="374"/>
      <c r="E79" s="374"/>
      <c r="F79" s="377">
        <f>IFERROR(INDEX('EFF-E_ANTC'!$C$4:$H$47,MATCH($B79,'EFF-E_ANTC'!$A$4:$A$47,0),MATCH(F$5,'EFF-E_ANTC'!$C$3:$H$3,0)),"")</f>
        <v>6.4348339348895098E-2</v>
      </c>
      <c r="G79" s="379">
        <f>IFERROR(INDEX('AFA-E_ANTC'!$J$5:$O$48,MATCH($B79,'AFA-E_ANTC'!$A$5:$A$48,0),MATCH(G$5,'AFA-E_ANTC'!$J$3:$O$3,0)),"")</f>
        <v>0.42532283795650333</v>
      </c>
      <c r="H79" s="379">
        <f>IFERROR(INDEX('AFA-E_ANTC'!$P$5:$P$48,MATCH($B79,'AFA-E_ANTC'!$A$5:$A$48,0)),"")</f>
        <v>0.06</v>
      </c>
      <c r="I79" s="381">
        <f>IFERROR(INDEX('RESID-E_ANTC'!$M$5:$T$48,MATCH($B79,'RESID-E_ANTC'!$A$5:$A$48,0),MATCH(I$5,'RESID-E_ANTC'!$M$3:$T$3,0)),"")</f>
        <v>25.1952522652347</v>
      </c>
      <c r="J79" s="379">
        <f>IFERROR(INDEX(FNRG_ANTC!$I$4:$I$51,MATCH($B79,FNRG_ANTC!$A$4:$A$51,0)),"")</f>
        <v>9.9920000000000009</v>
      </c>
      <c r="K79" s="233">
        <f t="shared" si="2"/>
        <v>0.6429686067741599</v>
      </c>
      <c r="L79" s="226">
        <f t="shared" si="3"/>
        <v>0.64296697178877849</v>
      </c>
    </row>
    <row r="80" spans="1:12" x14ac:dyDescent="0.25">
      <c r="A80" s="232" t="e">
        <f>IF(ITEMS_Tech_E!#REF!="","",ITEMS_Tech_E!#REF!)</f>
        <v>#REF!</v>
      </c>
      <c r="B80" s="385" t="str">
        <f>IF(ITEMS_Tech_E!D79="","",ITEMS_Tech_E!D79)</f>
        <v>*</v>
      </c>
      <c r="C80" s="232" t="str">
        <f>IF(ITEMS_Tech_E!E79="","",ITEMS_Tech_E!E79)</f>
        <v/>
      </c>
      <c r="D80" s="374"/>
      <c r="E80" s="374"/>
      <c r="F80" s="377">
        <f>IFERROR(INDEX('EFF-E_ANTC'!$C$4:$H$47,MATCH($B80,'EFF-E_ANTC'!$A$4:$A$47,0),MATCH(F$5,'EFF-E_ANTC'!$C$3:$H$3,0)),"")</f>
        <v>6.4348339348895098E-2</v>
      </c>
      <c r="G80" s="379">
        <f>IFERROR(INDEX('AFA-E_ANTC'!$J$5:$O$48,MATCH($B80,'AFA-E_ANTC'!$A$5:$A$48,0),MATCH(G$5,'AFA-E_ANTC'!$J$3:$O$3,0)),"")</f>
        <v>0.42532283795650333</v>
      </c>
      <c r="H80" s="379">
        <f>IFERROR(INDEX('AFA-E_ANTC'!$P$5:$P$48,MATCH($B80,'AFA-E_ANTC'!$A$5:$A$48,0)),"")</f>
        <v>0.06</v>
      </c>
      <c r="I80" s="381">
        <f>IFERROR(INDEX('RESID-E_ANTC'!$M$5:$T$48,MATCH($B80,'RESID-E_ANTC'!$A$5:$A$48,0),MATCH(I$5,'RESID-E_ANTC'!$M$3:$T$3,0)),"")</f>
        <v>25.1952522652347</v>
      </c>
      <c r="J80" s="379">
        <f>IFERROR(INDEX(FNRG_ANTC!$I$4:$I$51,MATCH($B80,FNRG_ANTC!$A$4:$A$51,0)),"")</f>
        <v>9.9920000000000009</v>
      </c>
      <c r="K80" s="233">
        <f t="shared" si="2"/>
        <v>0.6429686067741599</v>
      </c>
      <c r="L80" s="226">
        <f t="shared" si="3"/>
        <v>0.64296697178877849</v>
      </c>
    </row>
    <row r="81" spans="1:12" x14ac:dyDescent="0.25">
      <c r="A81" s="232" t="e">
        <f>IF(ITEMS_Tech_E!#REF!="","",ITEMS_Tech_E!#REF!)</f>
        <v>#REF!</v>
      </c>
      <c r="B81" s="385" t="str">
        <f>IF(ITEMS_Tech_E!D80="","",ITEMS_Tech_E!D80)</f>
        <v>*</v>
      </c>
      <c r="C81" s="232" t="str">
        <f>IF(ITEMS_Tech_E!E80="","",ITEMS_Tech_E!E80)</f>
        <v/>
      </c>
      <c r="D81" s="374"/>
      <c r="E81" s="374"/>
      <c r="F81" s="377">
        <f>IFERROR(INDEX('EFF-E_ANTC'!$C$4:$H$47,MATCH($B81,'EFF-E_ANTC'!$A$4:$A$47,0),MATCH(F$5,'EFF-E_ANTC'!$C$3:$H$3,0)),"")</f>
        <v>6.4348339348895098E-2</v>
      </c>
      <c r="G81" s="379">
        <f>IFERROR(INDEX('AFA-E_ANTC'!$J$5:$O$48,MATCH($B81,'AFA-E_ANTC'!$A$5:$A$48,0),MATCH(G$5,'AFA-E_ANTC'!$J$3:$O$3,0)),"")</f>
        <v>0.42532283795650333</v>
      </c>
      <c r="H81" s="379">
        <f>IFERROR(INDEX('AFA-E_ANTC'!$P$5:$P$48,MATCH($B81,'AFA-E_ANTC'!$A$5:$A$48,0)),"")</f>
        <v>0.06</v>
      </c>
      <c r="I81" s="381">
        <f>IFERROR(INDEX('RESID-E_ANTC'!$M$5:$T$48,MATCH($B81,'RESID-E_ANTC'!$A$5:$A$48,0),MATCH(I$5,'RESID-E_ANTC'!$M$3:$T$3,0)),"")</f>
        <v>25.1952522652347</v>
      </c>
      <c r="J81" s="379">
        <f>IFERROR(INDEX(FNRG_ANTC!$I$4:$I$51,MATCH($B81,FNRG_ANTC!$A$4:$A$51,0)),"")</f>
        <v>9.9920000000000009</v>
      </c>
      <c r="K81" s="233">
        <f t="shared" si="2"/>
        <v>0.6429686067741599</v>
      </c>
      <c r="L81" s="226">
        <f t="shared" si="3"/>
        <v>0.64296697178877849</v>
      </c>
    </row>
    <row r="82" spans="1:12" x14ac:dyDescent="0.25">
      <c r="A82" s="232" t="e">
        <f>IF(ITEMS_Tech_E!#REF!="","",ITEMS_Tech_E!#REF!)</f>
        <v>#REF!</v>
      </c>
      <c r="B82" s="385" t="str">
        <f>IF(ITEMS_Tech_E!D81="","",ITEMS_Tech_E!D81)</f>
        <v>*</v>
      </c>
      <c r="C82" s="232" t="str">
        <f>IF(ITEMS_Tech_E!E81="","",ITEMS_Tech_E!E81)</f>
        <v/>
      </c>
      <c r="D82" s="374"/>
      <c r="E82" s="374"/>
      <c r="F82" s="377">
        <f>IFERROR(INDEX('EFF-E_ANTC'!$C$4:$H$47,MATCH($B82,'EFF-E_ANTC'!$A$4:$A$47,0),MATCH(F$5,'EFF-E_ANTC'!$C$3:$H$3,0)),"")</f>
        <v>6.4348339348895098E-2</v>
      </c>
      <c r="G82" s="379">
        <f>IFERROR(INDEX('AFA-E_ANTC'!$J$5:$O$48,MATCH($B82,'AFA-E_ANTC'!$A$5:$A$48,0),MATCH(G$5,'AFA-E_ANTC'!$J$3:$O$3,0)),"")</f>
        <v>0.42532283795650333</v>
      </c>
      <c r="H82" s="379">
        <f>IFERROR(INDEX('AFA-E_ANTC'!$P$5:$P$48,MATCH($B82,'AFA-E_ANTC'!$A$5:$A$48,0)),"")</f>
        <v>0.06</v>
      </c>
      <c r="I82" s="381">
        <f>IFERROR(INDEX('RESID-E_ANTC'!$M$5:$T$48,MATCH($B82,'RESID-E_ANTC'!$A$5:$A$48,0),MATCH(I$5,'RESID-E_ANTC'!$M$3:$T$3,0)),"")</f>
        <v>25.1952522652347</v>
      </c>
      <c r="J82" s="379">
        <f>IFERROR(INDEX(FNRG_ANTC!$I$4:$I$51,MATCH($B82,FNRG_ANTC!$A$4:$A$51,0)),"")</f>
        <v>9.9920000000000009</v>
      </c>
      <c r="K82" s="233">
        <f t="shared" si="2"/>
        <v>0.6429686067741599</v>
      </c>
      <c r="L82" s="226">
        <f t="shared" si="3"/>
        <v>0.64296697178877849</v>
      </c>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1" id="{8D2F404E-A82C-4720-BB4C-33095956EF54}">
            <xm:f>COUNTIF(FNRG_ANTC!$D$4:$D$51,$D6)&lt;1</xm:f>
            <x14:dxf>
              <font>
                <color rgb="FFFF0000"/>
              </font>
              <fill>
                <patternFill patternType="none">
                  <bgColor auto="1"/>
                </patternFill>
              </fill>
            </x14:dxf>
          </x14:cfRule>
          <xm:sqref>D6:D82</xm:sqref>
        </x14:conditionalFormatting>
        <x14:conditionalFormatting xmlns:xm="http://schemas.microsoft.com/office/excel/2006/main">
          <x14:cfRule type="expression" priority="2" id="{085B767D-0789-41D7-BAD7-41EA291F2A2C}">
            <xm:f>COUNTIF(FNRG_ANTC!$E$4:$E$51,$E6)&lt;1</xm:f>
            <x14:dxf>
              <font>
                <color rgb="FFFF0000"/>
              </font>
              <fill>
                <patternFill patternType="none">
                  <bgColor auto="1"/>
                </patternFill>
              </fill>
            </x14:dxf>
          </x14:cfRule>
          <xm:sqref>E6:E82</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EBD58A-B8AD-4483-83EE-287965BC7690}">
  <sheetPr>
    <tabColor rgb="FF00B0F0"/>
  </sheetPr>
  <dimension ref="B4:I82"/>
  <sheetViews>
    <sheetView workbookViewId="0">
      <selection activeCell="E10" sqref="E10"/>
    </sheetView>
  </sheetViews>
  <sheetFormatPr defaultRowHeight="15" x14ac:dyDescent="0.25"/>
  <cols>
    <col min="1" max="1" width="3.5703125" customWidth="1"/>
    <col min="2" max="2" width="16.85546875" customWidth="1"/>
    <col min="3" max="3" width="8.5703125" bestFit="1" customWidth="1"/>
    <col min="4" max="4" width="18.85546875" bestFit="1" customWidth="1"/>
    <col min="5" max="5" width="55.5703125" bestFit="1" customWidth="1"/>
  </cols>
  <sheetData>
    <row r="4" spans="2:9" ht="18" thickBot="1" x14ac:dyDescent="0.35">
      <c r="D4" s="1" t="s">
        <v>0</v>
      </c>
    </row>
    <row r="5" spans="2:9" ht="16.5" thickTop="1" thickBot="1" x14ac:dyDescent="0.3">
      <c r="B5" s="2" t="s">
        <v>1342</v>
      </c>
      <c r="C5" s="2" t="s">
        <v>1341</v>
      </c>
      <c r="D5" s="2" t="s">
        <v>1</v>
      </c>
      <c r="E5" s="2" t="s">
        <v>2</v>
      </c>
      <c r="F5" s="2" t="s">
        <v>3</v>
      </c>
      <c r="G5" s="2" t="s">
        <v>4</v>
      </c>
      <c r="H5" s="2" t="s">
        <v>5</v>
      </c>
      <c r="I5" s="2" t="s">
        <v>6</v>
      </c>
    </row>
    <row r="6" spans="2:9" x14ac:dyDescent="0.25">
      <c r="B6" s="225"/>
      <c r="C6" s="687"/>
      <c r="D6" s="710" t="str">
        <f t="shared" ref="D6" si="0">IF(C6=1,B6,"*")</f>
        <v>*</v>
      </c>
      <c r="E6" s="225" t="s">
        <v>521</v>
      </c>
      <c r="F6" s="221"/>
      <c r="G6" s="221"/>
      <c r="H6" s="220"/>
      <c r="I6" s="220"/>
    </row>
    <row r="7" spans="2:9" x14ac:dyDescent="0.25">
      <c r="B7" s="220" t="s">
        <v>488</v>
      </c>
      <c r="C7" s="687">
        <v>1</v>
      </c>
      <c r="D7" s="710" t="str">
        <f>IF(C7=1,B7,"*")</f>
        <v>TPPRSUVODS-E</v>
      </c>
      <c r="E7" s="220" t="s">
        <v>509</v>
      </c>
      <c r="F7" s="221"/>
      <c r="G7" s="221"/>
      <c r="H7" s="220" t="s">
        <v>505</v>
      </c>
      <c r="I7" s="220" t="s">
        <v>506</v>
      </c>
    </row>
    <row r="8" spans="2:9" x14ac:dyDescent="0.25">
      <c r="B8" s="220" t="s">
        <v>490</v>
      </c>
      <c r="C8" s="687">
        <v>1</v>
      </c>
      <c r="D8" s="710" t="str">
        <f t="shared" ref="D8:D71" si="1">IF(C8=1,B8,"*")</f>
        <v>TPPRSUVOGS-E</v>
      </c>
      <c r="E8" s="220" t="s">
        <v>510</v>
      </c>
      <c r="F8" s="221"/>
      <c r="G8" s="221"/>
      <c r="H8" s="220" t="s">
        <v>505</v>
      </c>
      <c r="I8" s="220" t="s">
        <v>506</v>
      </c>
    </row>
    <row r="9" spans="2:9" x14ac:dyDescent="0.25">
      <c r="B9" s="220" t="s">
        <v>489</v>
      </c>
      <c r="C9" s="687">
        <v>1</v>
      </c>
      <c r="D9" s="710" t="str">
        <f t="shared" si="1"/>
        <v>TPPRSUVOGSH-E</v>
      </c>
      <c r="E9" s="220" t="s">
        <v>511</v>
      </c>
      <c r="F9" s="221"/>
      <c r="G9" s="221"/>
      <c r="H9" s="220" t="s">
        <v>505</v>
      </c>
      <c r="I9" s="220" t="s">
        <v>506</v>
      </c>
    </row>
    <row r="10" spans="2:9" x14ac:dyDescent="0.25">
      <c r="B10" s="220" t="s">
        <v>491</v>
      </c>
      <c r="C10" s="687">
        <v>1</v>
      </c>
      <c r="D10" s="710" t="str">
        <f t="shared" si="1"/>
        <v>TPPRSUVELC-E</v>
      </c>
      <c r="E10" s="220" t="s">
        <v>512</v>
      </c>
      <c r="F10" s="221"/>
      <c r="G10" s="221"/>
      <c r="H10" s="220" t="s">
        <v>505</v>
      </c>
      <c r="I10" s="220" t="s">
        <v>506</v>
      </c>
    </row>
    <row r="11" spans="2:9" x14ac:dyDescent="0.25">
      <c r="B11" s="220" t="s">
        <v>557</v>
      </c>
      <c r="C11" s="687">
        <v>0</v>
      </c>
      <c r="D11" s="710" t="str">
        <f t="shared" si="1"/>
        <v>*</v>
      </c>
      <c r="E11" s="220" t="s">
        <v>556</v>
      </c>
      <c r="F11" s="221"/>
      <c r="G11" s="221"/>
      <c r="H11" s="220" t="s">
        <v>505</v>
      </c>
      <c r="I11" s="220" t="s">
        <v>506</v>
      </c>
    </row>
    <row r="12" spans="2:9" x14ac:dyDescent="0.25">
      <c r="B12" s="220" t="s">
        <v>558</v>
      </c>
      <c r="C12" s="687">
        <v>1</v>
      </c>
      <c r="D12" s="710" t="str">
        <f t="shared" si="1"/>
        <v>TPPRSUVGAS-E</v>
      </c>
      <c r="E12" s="220" t="s">
        <v>559</v>
      </c>
      <c r="F12" s="221"/>
      <c r="G12" s="221"/>
      <c r="H12" s="220" t="s">
        <v>505</v>
      </c>
      <c r="I12" s="220" t="s">
        <v>506</v>
      </c>
    </row>
    <row r="13" spans="2:9" x14ac:dyDescent="0.25">
      <c r="B13" s="220"/>
      <c r="C13" s="687"/>
      <c r="D13" s="710" t="str">
        <f t="shared" si="1"/>
        <v>*</v>
      </c>
      <c r="E13" s="220"/>
      <c r="F13" s="221"/>
      <c r="G13" s="221"/>
      <c r="H13" s="220"/>
      <c r="I13" s="220"/>
    </row>
    <row r="14" spans="2:9" x14ac:dyDescent="0.25">
      <c r="B14" s="220"/>
      <c r="C14" s="687"/>
      <c r="D14" s="710" t="str">
        <f t="shared" si="1"/>
        <v>*</v>
      </c>
      <c r="E14" s="220"/>
      <c r="F14" s="221"/>
      <c r="G14" s="221"/>
      <c r="H14" s="220"/>
      <c r="I14" s="220"/>
    </row>
    <row r="15" spans="2:9" x14ac:dyDescent="0.25">
      <c r="B15" s="225"/>
      <c r="C15" s="687"/>
      <c r="D15" s="710" t="str">
        <f t="shared" si="1"/>
        <v>*</v>
      </c>
      <c r="E15" s="225" t="s">
        <v>522</v>
      </c>
      <c r="F15" s="221"/>
      <c r="G15" s="221"/>
      <c r="H15" s="220"/>
      <c r="I15" s="220"/>
    </row>
    <row r="16" spans="2:9" x14ac:dyDescent="0.25">
      <c r="B16" s="220" t="s">
        <v>469</v>
      </c>
      <c r="C16" s="687">
        <v>1</v>
      </c>
      <c r="D16" s="710" t="str">
        <f t="shared" si="1"/>
        <v>TPPRCARODS-E</v>
      </c>
      <c r="E16" s="220" t="s">
        <v>513</v>
      </c>
      <c r="F16" s="221"/>
      <c r="G16" s="221"/>
      <c r="H16" s="220" t="s">
        <v>505</v>
      </c>
      <c r="I16" s="220" t="s">
        <v>506</v>
      </c>
    </row>
    <row r="17" spans="2:9" x14ac:dyDescent="0.25">
      <c r="B17" s="220" t="s">
        <v>470</v>
      </c>
      <c r="C17" s="687">
        <v>1</v>
      </c>
      <c r="D17" s="710" t="str">
        <f t="shared" si="1"/>
        <v>TPPRCAROGS-E</v>
      </c>
      <c r="E17" s="220" t="s">
        <v>514</v>
      </c>
      <c r="F17" s="221"/>
      <c r="G17" s="221"/>
      <c r="H17" s="220" t="s">
        <v>505</v>
      </c>
      <c r="I17" s="220" t="s">
        <v>506</v>
      </c>
    </row>
    <row r="18" spans="2:9" x14ac:dyDescent="0.25">
      <c r="B18" s="220" t="s">
        <v>472</v>
      </c>
      <c r="C18" s="687">
        <v>1</v>
      </c>
      <c r="D18" s="710" t="str">
        <f t="shared" si="1"/>
        <v>TPPRCAROGSH-E</v>
      </c>
      <c r="E18" s="220" t="s">
        <v>515</v>
      </c>
      <c r="F18" s="221"/>
      <c r="G18" s="221"/>
      <c r="H18" s="220" t="s">
        <v>505</v>
      </c>
      <c r="I18" s="220" t="s">
        <v>506</v>
      </c>
    </row>
    <row r="19" spans="2:9" x14ac:dyDescent="0.25">
      <c r="B19" s="220" t="s">
        <v>473</v>
      </c>
      <c r="C19" s="687">
        <v>1</v>
      </c>
      <c r="D19" s="710" t="str">
        <f t="shared" si="1"/>
        <v>TPPRCARELC-E</v>
      </c>
      <c r="E19" s="220" t="s">
        <v>555</v>
      </c>
      <c r="F19" s="221"/>
      <c r="G19" s="221"/>
      <c r="H19" s="220" t="s">
        <v>505</v>
      </c>
      <c r="I19" s="220" t="s">
        <v>506</v>
      </c>
    </row>
    <row r="20" spans="2:9" x14ac:dyDescent="0.25">
      <c r="B20" s="220" t="s">
        <v>471</v>
      </c>
      <c r="C20" s="687">
        <v>0</v>
      </c>
      <c r="D20" s="710" t="str">
        <f t="shared" si="1"/>
        <v>*</v>
      </c>
      <c r="E20" s="220" t="s">
        <v>561</v>
      </c>
      <c r="F20" s="221"/>
      <c r="G20" s="221"/>
      <c r="H20" s="220" t="s">
        <v>505</v>
      </c>
      <c r="I20" s="220" t="s">
        <v>506</v>
      </c>
    </row>
    <row r="21" spans="2:9" x14ac:dyDescent="0.25">
      <c r="B21" s="220" t="s">
        <v>560</v>
      </c>
      <c r="C21" s="687">
        <v>1</v>
      </c>
      <c r="D21" s="710" t="str">
        <f t="shared" si="1"/>
        <v>TPPRCARGAS-E</v>
      </c>
      <c r="E21" s="220" t="s">
        <v>562</v>
      </c>
      <c r="F21" s="221"/>
      <c r="G21" s="221"/>
      <c r="H21" s="220" t="s">
        <v>505</v>
      </c>
      <c r="I21" s="220" t="s">
        <v>506</v>
      </c>
    </row>
    <row r="22" spans="2:9" x14ac:dyDescent="0.25">
      <c r="B22" s="220"/>
      <c r="C22" s="687"/>
      <c r="D22" s="710" t="str">
        <f t="shared" si="1"/>
        <v>*</v>
      </c>
      <c r="E22" s="220"/>
      <c r="F22" s="221"/>
      <c r="G22" s="221"/>
      <c r="H22" s="220"/>
      <c r="I22" s="220"/>
    </row>
    <row r="23" spans="2:9" x14ac:dyDescent="0.25">
      <c r="B23" s="220"/>
      <c r="C23" s="687"/>
      <c r="D23" s="710" t="str">
        <f t="shared" si="1"/>
        <v>*</v>
      </c>
      <c r="E23" s="220"/>
      <c r="F23" s="221"/>
      <c r="G23" s="221"/>
      <c r="H23" s="220"/>
      <c r="I23" s="220"/>
    </row>
    <row r="24" spans="2:9" x14ac:dyDescent="0.25">
      <c r="B24" s="225"/>
      <c r="C24" s="687"/>
      <c r="D24" s="710" t="str">
        <f t="shared" si="1"/>
        <v>*</v>
      </c>
      <c r="E24" s="225" t="s">
        <v>523</v>
      </c>
      <c r="F24" s="221"/>
      <c r="G24" s="221"/>
      <c r="H24" s="220"/>
      <c r="I24" s="220"/>
    </row>
    <row r="25" spans="2:9" x14ac:dyDescent="0.25">
      <c r="B25" s="220" t="s">
        <v>288</v>
      </c>
      <c r="C25" s="687">
        <v>1</v>
      </c>
      <c r="D25" s="710" t="str">
        <f t="shared" si="1"/>
        <v>TPPRMOTOGS-E</v>
      </c>
      <c r="E25" s="220" t="s">
        <v>516</v>
      </c>
      <c r="F25" s="221"/>
      <c r="G25" s="221"/>
      <c r="H25" s="220" t="s">
        <v>505</v>
      </c>
      <c r="I25" s="220" t="s">
        <v>506</v>
      </c>
    </row>
    <row r="26" spans="2:9" x14ac:dyDescent="0.25">
      <c r="B26" s="220"/>
      <c r="C26" s="687"/>
      <c r="D26" s="710" t="str">
        <f t="shared" si="1"/>
        <v>*</v>
      </c>
      <c r="E26" s="220"/>
      <c r="F26" s="221"/>
      <c r="G26" s="221"/>
      <c r="H26" s="220"/>
      <c r="I26" s="220"/>
    </row>
    <row r="27" spans="2:9" x14ac:dyDescent="0.25">
      <c r="B27" s="220"/>
      <c r="C27" s="687"/>
      <c r="D27" s="710" t="str">
        <f t="shared" si="1"/>
        <v>*</v>
      </c>
      <c r="E27" s="220"/>
      <c r="F27" s="221"/>
      <c r="G27" s="221"/>
      <c r="H27" s="220"/>
      <c r="I27" s="220"/>
    </row>
    <row r="28" spans="2:9" x14ac:dyDescent="0.25">
      <c r="B28" s="225"/>
      <c r="C28" s="687"/>
      <c r="D28" s="710" t="str">
        <f t="shared" si="1"/>
        <v>*</v>
      </c>
      <c r="E28" s="225" t="s">
        <v>524</v>
      </c>
      <c r="F28" s="221"/>
      <c r="G28" s="221"/>
      <c r="H28" s="220" t="s">
        <v>505</v>
      </c>
      <c r="I28" s="220" t="s">
        <v>506</v>
      </c>
    </row>
    <row r="29" spans="2:9" x14ac:dyDescent="0.25">
      <c r="B29" s="220" t="s">
        <v>468</v>
      </c>
      <c r="C29" s="687">
        <v>1</v>
      </c>
      <c r="D29" s="710" t="str">
        <f t="shared" si="1"/>
        <v>TPPUBUSODS-E</v>
      </c>
      <c r="E29" s="220" t="s">
        <v>517</v>
      </c>
      <c r="F29" s="221"/>
      <c r="G29" s="221"/>
      <c r="H29" s="220" t="s">
        <v>505</v>
      </c>
      <c r="I29" s="220" t="s">
        <v>506</v>
      </c>
    </row>
    <row r="30" spans="2:9" x14ac:dyDescent="0.25">
      <c r="B30" s="220" t="s">
        <v>565</v>
      </c>
      <c r="C30" s="687">
        <v>1</v>
      </c>
      <c r="D30" s="710" t="str">
        <f t="shared" si="1"/>
        <v>TPPUBUSGAS-E</v>
      </c>
      <c r="E30" s="220" t="s">
        <v>566</v>
      </c>
      <c r="F30" s="221"/>
      <c r="G30" s="221"/>
      <c r="H30" s="220" t="s">
        <v>505</v>
      </c>
      <c r="I30" s="220" t="s">
        <v>506</v>
      </c>
    </row>
    <row r="31" spans="2:9" x14ac:dyDescent="0.25">
      <c r="B31" s="220"/>
      <c r="C31" s="687"/>
      <c r="D31" s="710" t="str">
        <f t="shared" si="1"/>
        <v>*</v>
      </c>
      <c r="E31" s="220"/>
      <c r="F31" s="221"/>
      <c r="G31" s="221"/>
      <c r="H31" s="220"/>
      <c r="I31" s="220"/>
    </row>
    <row r="32" spans="2:9" x14ac:dyDescent="0.25">
      <c r="B32" s="225"/>
      <c r="C32" s="687"/>
      <c r="D32" s="710" t="str">
        <f t="shared" si="1"/>
        <v>*</v>
      </c>
      <c r="E32" s="225" t="s">
        <v>525</v>
      </c>
      <c r="F32" s="221"/>
      <c r="G32" s="221"/>
      <c r="H32" s="220"/>
      <c r="I32" s="220"/>
    </row>
    <row r="33" spans="2:9" x14ac:dyDescent="0.25">
      <c r="B33" s="220" t="s">
        <v>486</v>
      </c>
      <c r="C33" s="687">
        <v>1</v>
      </c>
      <c r="D33" s="710" t="str">
        <f t="shared" si="1"/>
        <v>TPPUMBTODS-E</v>
      </c>
      <c r="E33" s="220" t="s">
        <v>518</v>
      </c>
      <c r="F33" s="221"/>
      <c r="G33" s="221"/>
      <c r="H33" s="220" t="s">
        <v>505</v>
      </c>
      <c r="I33" s="220" t="s">
        <v>506</v>
      </c>
    </row>
    <row r="34" spans="2:9" x14ac:dyDescent="0.25">
      <c r="B34" s="220" t="s">
        <v>487</v>
      </c>
      <c r="C34" s="687">
        <v>1</v>
      </c>
      <c r="D34" s="710" t="str">
        <f t="shared" si="1"/>
        <v>TPPUMBTOGS-E</v>
      </c>
      <c r="E34" s="220" t="s">
        <v>519</v>
      </c>
      <c r="F34" s="221"/>
      <c r="G34" s="221"/>
      <c r="H34" s="220" t="s">
        <v>505</v>
      </c>
      <c r="I34" s="220" t="s">
        <v>506</v>
      </c>
    </row>
    <row r="35" spans="2:9" x14ac:dyDescent="0.25">
      <c r="B35" s="220" t="s">
        <v>567</v>
      </c>
      <c r="C35" s="687">
        <v>1</v>
      </c>
      <c r="D35" s="710" t="str">
        <f t="shared" si="1"/>
        <v>TPPUMBTGAS-E</v>
      </c>
      <c r="E35" s="220" t="s">
        <v>568</v>
      </c>
      <c r="F35" s="221"/>
      <c r="G35" s="221"/>
      <c r="H35" s="220" t="s">
        <v>505</v>
      </c>
      <c r="I35" s="220" t="s">
        <v>506</v>
      </c>
    </row>
    <row r="36" spans="2:9" x14ac:dyDescent="0.25">
      <c r="B36" s="220"/>
      <c r="C36" s="687"/>
      <c r="D36" s="710" t="str">
        <f t="shared" si="1"/>
        <v>*</v>
      </c>
      <c r="E36" s="220"/>
      <c r="F36" s="221"/>
      <c r="G36" s="221"/>
      <c r="H36" s="220"/>
      <c r="I36" s="220"/>
    </row>
    <row r="37" spans="2:9" x14ac:dyDescent="0.25">
      <c r="B37" s="220"/>
      <c r="C37" s="687"/>
      <c r="D37" s="710" t="str">
        <f t="shared" si="1"/>
        <v>*</v>
      </c>
      <c r="E37" s="220"/>
      <c r="F37" s="221"/>
      <c r="G37" s="221"/>
      <c r="H37" s="220"/>
      <c r="I37" s="220"/>
    </row>
    <row r="38" spans="2:9" x14ac:dyDescent="0.25">
      <c r="B38" s="225"/>
      <c r="C38" s="687"/>
      <c r="D38" s="710" t="str">
        <f t="shared" si="1"/>
        <v>*</v>
      </c>
      <c r="E38" s="225" t="s">
        <v>526</v>
      </c>
      <c r="F38" s="221"/>
      <c r="G38" s="221"/>
      <c r="H38" s="220"/>
      <c r="I38" s="220"/>
    </row>
    <row r="39" spans="2:9" x14ac:dyDescent="0.25">
      <c r="B39" s="220" t="s">
        <v>291</v>
      </c>
      <c r="C39" s="687">
        <v>1</v>
      </c>
      <c r="D39" s="710" t="str">
        <f t="shared" si="1"/>
        <v>TPPUMERELC-E</v>
      </c>
      <c r="E39" s="220" t="s">
        <v>520</v>
      </c>
      <c r="F39" s="221" t="s">
        <v>507</v>
      </c>
      <c r="G39" s="221" t="s">
        <v>508</v>
      </c>
      <c r="H39" s="220" t="s">
        <v>505</v>
      </c>
      <c r="I39" s="220" t="s">
        <v>506</v>
      </c>
    </row>
    <row r="40" spans="2:9" x14ac:dyDescent="0.25">
      <c r="B40" s="220"/>
      <c r="C40" s="687"/>
      <c r="D40" s="710" t="str">
        <f t="shared" si="1"/>
        <v>*</v>
      </c>
      <c r="E40" s="220"/>
      <c r="F40" s="221"/>
      <c r="G40" s="221"/>
      <c r="H40" s="220"/>
      <c r="I40" s="220"/>
    </row>
    <row r="41" spans="2:9" x14ac:dyDescent="0.25">
      <c r="B41" s="220"/>
      <c r="C41" s="687"/>
      <c r="D41" s="710" t="str">
        <f t="shared" si="1"/>
        <v>*</v>
      </c>
      <c r="E41" s="220"/>
      <c r="F41" s="221"/>
      <c r="G41" s="221"/>
      <c r="H41" s="220"/>
      <c r="I41" s="220"/>
    </row>
    <row r="42" spans="2:9" x14ac:dyDescent="0.25">
      <c r="B42" s="220"/>
      <c r="C42" s="687"/>
      <c r="D42" s="710" t="str">
        <f t="shared" si="1"/>
        <v>*</v>
      </c>
      <c r="E42" s="220"/>
      <c r="F42" s="221"/>
      <c r="G42" s="221"/>
      <c r="H42" s="220"/>
      <c r="I42" s="220"/>
    </row>
    <row r="43" spans="2:9" x14ac:dyDescent="0.25">
      <c r="B43" s="227"/>
      <c r="C43" s="687"/>
      <c r="D43" s="710" t="str">
        <f t="shared" si="1"/>
        <v>*</v>
      </c>
      <c r="E43" s="227" t="s">
        <v>810</v>
      </c>
      <c r="F43" s="221"/>
      <c r="G43" s="221"/>
      <c r="H43" s="220"/>
      <c r="I43" s="220"/>
    </row>
    <row r="44" spans="2:9" x14ac:dyDescent="0.25">
      <c r="B44" s="220" t="s">
        <v>484</v>
      </c>
      <c r="C44" s="687">
        <v>1</v>
      </c>
      <c r="D44" s="710" t="str">
        <f t="shared" si="1"/>
        <v>TFLCVODS-E</v>
      </c>
      <c r="E44" s="220" t="s">
        <v>811</v>
      </c>
      <c r="F44" s="221"/>
      <c r="G44" s="221"/>
      <c r="H44" s="220" t="s">
        <v>505</v>
      </c>
      <c r="I44" s="220" t="s">
        <v>506</v>
      </c>
    </row>
    <row r="45" spans="2:9" x14ac:dyDescent="0.25">
      <c r="B45" s="220" t="s">
        <v>485</v>
      </c>
      <c r="C45" s="687">
        <v>1</v>
      </c>
      <c r="D45" s="710" t="str">
        <f t="shared" si="1"/>
        <v>TFLCVOGS-E</v>
      </c>
      <c r="E45" s="220" t="s">
        <v>812</v>
      </c>
      <c r="F45" s="221"/>
      <c r="G45" s="221"/>
      <c r="H45" s="220" t="s">
        <v>505</v>
      </c>
      <c r="I45" s="220" t="s">
        <v>506</v>
      </c>
    </row>
    <row r="46" spans="2:9" x14ac:dyDescent="0.25">
      <c r="B46" s="220" t="s">
        <v>571</v>
      </c>
      <c r="C46" s="687">
        <v>1</v>
      </c>
      <c r="D46" s="710" t="str">
        <f t="shared" si="1"/>
        <v>TFLCVGAS-E</v>
      </c>
      <c r="E46" s="220" t="s">
        <v>854</v>
      </c>
      <c r="F46" s="221"/>
      <c r="G46" s="221"/>
      <c r="H46" s="220" t="s">
        <v>505</v>
      </c>
      <c r="I46" s="220" t="s">
        <v>506</v>
      </c>
    </row>
    <row r="47" spans="2:9" x14ac:dyDescent="0.25">
      <c r="B47" s="220"/>
      <c r="C47" s="687"/>
      <c r="D47" s="710" t="str">
        <f t="shared" si="1"/>
        <v>*</v>
      </c>
      <c r="E47" s="220"/>
      <c r="F47" s="221"/>
      <c r="G47" s="221"/>
      <c r="H47" s="220"/>
      <c r="I47" s="220"/>
    </row>
    <row r="48" spans="2:9" x14ac:dyDescent="0.25">
      <c r="B48" s="227"/>
      <c r="C48" s="687"/>
      <c r="D48" s="710" t="str">
        <f t="shared" si="1"/>
        <v>*</v>
      </c>
      <c r="E48" s="227" t="s">
        <v>848</v>
      </c>
      <c r="F48" s="221"/>
      <c r="G48" s="221"/>
      <c r="H48" s="220"/>
      <c r="I48" s="220"/>
    </row>
    <row r="49" spans="2:9" x14ac:dyDescent="0.25">
      <c r="B49" s="220" t="s">
        <v>474</v>
      </c>
      <c r="C49" s="687">
        <v>1</v>
      </c>
      <c r="D49" s="710" t="str">
        <f t="shared" si="1"/>
        <v>TFHCV1ODS-E</v>
      </c>
      <c r="E49" s="220" t="s">
        <v>813</v>
      </c>
      <c r="F49" s="221"/>
      <c r="G49" s="221"/>
      <c r="H49" s="220" t="s">
        <v>505</v>
      </c>
      <c r="I49" s="220" t="s">
        <v>506</v>
      </c>
    </row>
    <row r="50" spans="2:9" x14ac:dyDescent="0.25">
      <c r="B50" s="220" t="s">
        <v>475</v>
      </c>
      <c r="C50" s="687">
        <v>1</v>
      </c>
      <c r="D50" s="710" t="str">
        <f t="shared" si="1"/>
        <v>TFHCV1OGS-E</v>
      </c>
      <c r="E50" s="220" t="s">
        <v>814</v>
      </c>
      <c r="F50" s="221"/>
      <c r="G50" s="221"/>
      <c r="H50" s="220" t="s">
        <v>505</v>
      </c>
      <c r="I50" s="220" t="s">
        <v>506</v>
      </c>
    </row>
    <row r="51" spans="2:9" x14ac:dyDescent="0.25">
      <c r="B51" s="220" t="s">
        <v>476</v>
      </c>
      <c r="C51" s="687">
        <v>1</v>
      </c>
      <c r="D51" s="710" t="str">
        <f t="shared" si="1"/>
        <v>TFHCV2ODS-E</v>
      </c>
      <c r="E51" s="220" t="s">
        <v>815</v>
      </c>
      <c r="F51" s="221"/>
      <c r="G51" s="221"/>
      <c r="H51" s="220" t="s">
        <v>505</v>
      </c>
      <c r="I51" s="220" t="s">
        <v>506</v>
      </c>
    </row>
    <row r="52" spans="2:9" x14ac:dyDescent="0.25">
      <c r="B52" s="220" t="s">
        <v>477</v>
      </c>
      <c r="C52" s="687">
        <v>1</v>
      </c>
      <c r="D52" s="710" t="str">
        <f t="shared" si="1"/>
        <v>TFHCV3ODS-E</v>
      </c>
      <c r="E52" s="220" t="s">
        <v>816</v>
      </c>
      <c r="F52" s="221"/>
      <c r="G52" s="221"/>
      <c r="H52" s="220" t="s">
        <v>505</v>
      </c>
      <c r="I52" s="220" t="s">
        <v>506</v>
      </c>
    </row>
    <row r="53" spans="2:9" x14ac:dyDescent="0.25">
      <c r="B53" s="220" t="s">
        <v>478</v>
      </c>
      <c r="C53" s="687">
        <v>1</v>
      </c>
      <c r="D53" s="710" t="str">
        <f t="shared" si="1"/>
        <v>TFHCV4ODS-E</v>
      </c>
      <c r="E53" s="220" t="s">
        <v>817</v>
      </c>
      <c r="F53" s="221"/>
      <c r="G53" s="221"/>
      <c r="H53" s="220" t="s">
        <v>505</v>
      </c>
      <c r="I53" s="220" t="s">
        <v>506</v>
      </c>
    </row>
    <row r="54" spans="2:9" x14ac:dyDescent="0.25">
      <c r="B54" s="220" t="s">
        <v>479</v>
      </c>
      <c r="C54" s="687">
        <v>1</v>
      </c>
      <c r="D54" s="710" t="str">
        <f t="shared" si="1"/>
        <v>TFHCV5ODS-E</v>
      </c>
      <c r="E54" s="220" t="s">
        <v>818</v>
      </c>
      <c r="F54" s="221"/>
      <c r="G54" s="221"/>
      <c r="H54" s="220" t="s">
        <v>505</v>
      </c>
      <c r="I54" s="220" t="s">
        <v>506</v>
      </c>
    </row>
    <row r="55" spans="2:9" x14ac:dyDescent="0.25">
      <c r="B55" s="220" t="s">
        <v>480</v>
      </c>
      <c r="C55" s="687">
        <v>1</v>
      </c>
      <c r="D55" s="710" t="str">
        <f t="shared" si="1"/>
        <v>TFHCV6ODS-E</v>
      </c>
      <c r="E55" s="220" t="s">
        <v>819</v>
      </c>
      <c r="F55" s="221"/>
      <c r="G55" s="221"/>
      <c r="H55" s="220" t="s">
        <v>505</v>
      </c>
      <c r="I55" s="220" t="s">
        <v>506</v>
      </c>
    </row>
    <row r="56" spans="2:9" x14ac:dyDescent="0.25">
      <c r="B56" s="220" t="s">
        <v>481</v>
      </c>
      <c r="C56" s="687">
        <v>1</v>
      </c>
      <c r="D56" s="710" t="str">
        <f t="shared" si="1"/>
        <v>TFHCV7ODS-E</v>
      </c>
      <c r="E56" s="220" t="s">
        <v>820</v>
      </c>
      <c r="F56" s="221"/>
      <c r="G56" s="221"/>
      <c r="H56" s="220" t="s">
        <v>505</v>
      </c>
      <c r="I56" s="220" t="s">
        <v>506</v>
      </c>
    </row>
    <row r="57" spans="2:9" x14ac:dyDescent="0.25">
      <c r="B57" s="220" t="s">
        <v>482</v>
      </c>
      <c r="C57" s="687">
        <v>1</v>
      </c>
      <c r="D57" s="710" t="str">
        <f t="shared" si="1"/>
        <v>TFHCV8ODS-E</v>
      </c>
      <c r="E57" s="220" t="s">
        <v>821</v>
      </c>
      <c r="F57" s="221"/>
      <c r="G57" s="221"/>
      <c r="H57" s="220" t="s">
        <v>505</v>
      </c>
      <c r="I57" s="220" t="s">
        <v>506</v>
      </c>
    </row>
    <row r="58" spans="2:9" x14ac:dyDescent="0.25">
      <c r="B58" s="220" t="s">
        <v>483</v>
      </c>
      <c r="C58" s="687">
        <v>1</v>
      </c>
      <c r="D58" s="710" t="str">
        <f t="shared" si="1"/>
        <v>TFHCV9ODS-E</v>
      </c>
      <c r="E58" s="220" t="s">
        <v>822</v>
      </c>
      <c r="F58" s="221"/>
      <c r="G58" s="221"/>
      <c r="H58" s="220" t="s">
        <v>505</v>
      </c>
      <c r="I58" s="220" t="s">
        <v>506</v>
      </c>
    </row>
    <row r="59" spans="2:9" x14ac:dyDescent="0.25">
      <c r="B59" s="220" t="s">
        <v>572</v>
      </c>
      <c r="C59" s="687">
        <v>1</v>
      </c>
      <c r="D59" s="710" t="str">
        <f t="shared" si="1"/>
        <v>TFHCV1GAS-E</v>
      </c>
      <c r="E59" s="220" t="s">
        <v>853</v>
      </c>
      <c r="F59" s="221"/>
      <c r="G59" s="221"/>
      <c r="H59" s="220" t="s">
        <v>505</v>
      </c>
      <c r="I59" s="220" t="s">
        <v>506</v>
      </c>
    </row>
    <row r="60" spans="2:9" x14ac:dyDescent="0.25">
      <c r="B60" s="220"/>
      <c r="C60" s="687"/>
      <c r="D60" s="710" t="str">
        <f t="shared" si="1"/>
        <v>*</v>
      </c>
      <c r="E60" s="220"/>
      <c r="F60" s="221"/>
      <c r="G60" s="221"/>
      <c r="H60" s="220"/>
      <c r="I60" s="220"/>
    </row>
    <row r="61" spans="2:9" x14ac:dyDescent="0.25">
      <c r="B61" s="220"/>
      <c r="C61" s="687"/>
      <c r="D61" s="710" t="str">
        <f t="shared" si="1"/>
        <v>*</v>
      </c>
      <c r="E61" s="220"/>
      <c r="F61" s="221"/>
      <c r="G61" s="221"/>
      <c r="H61" s="220"/>
      <c r="I61" s="220"/>
    </row>
    <row r="62" spans="2:9" x14ac:dyDescent="0.25">
      <c r="B62" s="227"/>
      <c r="C62" s="687"/>
      <c r="D62" s="710" t="str">
        <f t="shared" si="1"/>
        <v>*</v>
      </c>
      <c r="E62" s="227" t="s">
        <v>849</v>
      </c>
      <c r="F62" s="221"/>
      <c r="G62" s="221"/>
      <c r="H62" s="220"/>
      <c r="I62" s="220"/>
    </row>
    <row r="63" spans="2:9" x14ac:dyDescent="0.25">
      <c r="B63" s="220" t="s">
        <v>823</v>
      </c>
      <c r="C63" s="687">
        <v>1</v>
      </c>
      <c r="D63" s="710" t="str">
        <f t="shared" si="1"/>
        <v>TFRCOODS-E</v>
      </c>
      <c r="E63" s="220" t="s">
        <v>824</v>
      </c>
      <c r="F63" s="221" t="s">
        <v>825</v>
      </c>
      <c r="G63" s="221" t="s">
        <v>826</v>
      </c>
      <c r="H63" s="220" t="s">
        <v>505</v>
      </c>
      <c r="I63" s="220" t="s">
        <v>506</v>
      </c>
    </row>
    <row r="64" spans="2:9" x14ac:dyDescent="0.25">
      <c r="B64" s="220" t="s">
        <v>827</v>
      </c>
      <c r="C64" s="687">
        <v>1</v>
      </c>
      <c r="D64" s="710" t="str">
        <f t="shared" si="1"/>
        <v>TFRCOELC-E</v>
      </c>
      <c r="E64" s="220" t="s">
        <v>828</v>
      </c>
      <c r="F64" s="221" t="s">
        <v>825</v>
      </c>
      <c r="G64" s="221" t="s">
        <v>826</v>
      </c>
      <c r="H64" s="220" t="s">
        <v>505</v>
      </c>
      <c r="I64" s="220" t="s">
        <v>506</v>
      </c>
    </row>
    <row r="65" spans="2:9" x14ac:dyDescent="0.25">
      <c r="B65" s="220" t="s">
        <v>829</v>
      </c>
      <c r="C65" s="687">
        <v>1</v>
      </c>
      <c r="D65" s="710" t="str">
        <f t="shared" si="1"/>
        <v>TFROTODS-E</v>
      </c>
      <c r="E65" s="220" t="s">
        <v>830</v>
      </c>
      <c r="F65" s="221" t="s">
        <v>825</v>
      </c>
      <c r="G65" s="221" t="s">
        <v>826</v>
      </c>
      <c r="H65" s="220" t="s">
        <v>505</v>
      </c>
      <c r="I65" s="220" t="s">
        <v>506</v>
      </c>
    </row>
    <row r="66" spans="2:9" x14ac:dyDescent="0.25">
      <c r="B66" s="220" t="s">
        <v>831</v>
      </c>
      <c r="C66" s="687">
        <v>1</v>
      </c>
      <c r="D66" s="710" t="str">
        <f t="shared" si="1"/>
        <v>TFROTELC-E</v>
      </c>
      <c r="E66" s="220" t="s">
        <v>832</v>
      </c>
      <c r="F66" s="221" t="s">
        <v>825</v>
      </c>
      <c r="G66" s="221" t="s">
        <v>826</v>
      </c>
      <c r="H66" s="220" t="s">
        <v>505</v>
      </c>
      <c r="I66" s="220" t="s">
        <v>506</v>
      </c>
    </row>
    <row r="67" spans="2:9" x14ac:dyDescent="0.25">
      <c r="B67" s="220" t="s">
        <v>833</v>
      </c>
      <c r="C67" s="687">
        <v>1</v>
      </c>
      <c r="D67" s="710" t="str">
        <f t="shared" si="1"/>
        <v>TFREXODSR-E</v>
      </c>
      <c r="E67" s="220" t="s">
        <v>834</v>
      </c>
      <c r="F67" s="221" t="s">
        <v>825</v>
      </c>
      <c r="G67" s="221" t="s">
        <v>826</v>
      </c>
      <c r="H67" s="220" t="s">
        <v>505</v>
      </c>
      <c r="I67" s="220" t="s">
        <v>506</v>
      </c>
    </row>
    <row r="68" spans="2:9" x14ac:dyDescent="0.25">
      <c r="B68" s="220" t="s">
        <v>835</v>
      </c>
      <c r="C68" s="687">
        <v>1</v>
      </c>
      <c r="D68" s="710" t="str">
        <f t="shared" si="1"/>
        <v>TFREXELCR-E</v>
      </c>
      <c r="E68" s="220" t="s">
        <v>836</v>
      </c>
      <c r="F68" s="221" t="s">
        <v>825</v>
      </c>
      <c r="G68" s="221" t="s">
        <v>826</v>
      </c>
      <c r="H68" s="220" t="s">
        <v>505</v>
      </c>
      <c r="I68" s="220" t="s">
        <v>506</v>
      </c>
    </row>
    <row r="69" spans="2:9" x14ac:dyDescent="0.25">
      <c r="B69" s="220"/>
      <c r="C69" s="687"/>
      <c r="D69" s="710" t="str">
        <f t="shared" si="1"/>
        <v>*</v>
      </c>
      <c r="E69" s="220"/>
      <c r="F69" s="221"/>
      <c r="G69" s="221"/>
      <c r="H69" s="220"/>
      <c r="I69" s="220"/>
    </row>
    <row r="70" spans="2:9" x14ac:dyDescent="0.25">
      <c r="B70" s="220"/>
      <c r="C70" s="687"/>
      <c r="D70" s="710" t="str">
        <f t="shared" si="1"/>
        <v>*</v>
      </c>
      <c r="E70" s="220"/>
      <c r="F70" s="221"/>
      <c r="G70" s="221"/>
      <c r="H70" s="220"/>
      <c r="I70" s="220"/>
    </row>
    <row r="71" spans="2:9" x14ac:dyDescent="0.25">
      <c r="B71" s="220"/>
      <c r="C71" s="687"/>
      <c r="D71" s="710" t="str">
        <f t="shared" si="1"/>
        <v>*</v>
      </c>
      <c r="E71" s="220"/>
      <c r="F71" s="221"/>
      <c r="G71" s="221"/>
      <c r="H71" s="220"/>
      <c r="I71" s="220"/>
    </row>
    <row r="72" spans="2:9" x14ac:dyDescent="0.25">
      <c r="B72" s="227"/>
      <c r="C72" s="687"/>
      <c r="D72" s="710" t="str">
        <f t="shared" ref="D72:D82" si="2">IF(C72=1,B72,"*")</f>
        <v>*</v>
      </c>
      <c r="E72" s="227" t="s">
        <v>850</v>
      </c>
      <c r="F72" s="221"/>
      <c r="G72" s="221"/>
      <c r="H72" s="220"/>
      <c r="I72" s="220"/>
    </row>
    <row r="73" spans="2:9" x14ac:dyDescent="0.25">
      <c r="B73" s="220" t="s">
        <v>837</v>
      </c>
      <c r="C73" s="687">
        <v>1</v>
      </c>
      <c r="D73" s="710" t="str">
        <f t="shared" si="2"/>
        <v>TFPIPELC-E</v>
      </c>
      <c r="E73" s="220" t="s">
        <v>838</v>
      </c>
      <c r="F73" s="221" t="s">
        <v>178</v>
      </c>
      <c r="G73" s="221" t="s">
        <v>839</v>
      </c>
      <c r="H73" s="220" t="s">
        <v>505</v>
      </c>
      <c r="I73" s="220" t="s">
        <v>506</v>
      </c>
    </row>
    <row r="74" spans="2:9" x14ac:dyDescent="0.25">
      <c r="B74" s="220" t="s">
        <v>840</v>
      </c>
      <c r="C74" s="687">
        <v>1</v>
      </c>
      <c r="D74" s="710" t="str">
        <f t="shared" si="2"/>
        <v>TAIJETOKE-E</v>
      </c>
      <c r="E74" s="220" t="s">
        <v>841</v>
      </c>
      <c r="F74" s="221" t="s">
        <v>178</v>
      </c>
      <c r="G74" s="221" t="s">
        <v>839</v>
      </c>
      <c r="H74" s="220" t="s">
        <v>505</v>
      </c>
      <c r="I74" s="220" t="s">
        <v>506</v>
      </c>
    </row>
    <row r="75" spans="2:9" x14ac:dyDescent="0.25">
      <c r="B75" s="220" t="s">
        <v>842</v>
      </c>
      <c r="C75" s="687">
        <v>1</v>
      </c>
      <c r="D75" s="710" t="str">
        <f t="shared" si="2"/>
        <v>TADJETOKE-E</v>
      </c>
      <c r="E75" s="220" t="s">
        <v>843</v>
      </c>
      <c r="F75" s="221" t="s">
        <v>178</v>
      </c>
      <c r="G75" s="221" t="s">
        <v>839</v>
      </c>
      <c r="H75" s="220" t="s">
        <v>505</v>
      </c>
      <c r="I75" s="220" t="s">
        <v>506</v>
      </c>
    </row>
    <row r="76" spans="2:9" x14ac:dyDescent="0.25">
      <c r="B76" s="220" t="s">
        <v>844</v>
      </c>
      <c r="C76" s="687">
        <v>1</v>
      </c>
      <c r="D76" s="710" t="str">
        <f t="shared" si="2"/>
        <v>TAOAGOAG-E</v>
      </c>
      <c r="E76" s="220" t="s">
        <v>845</v>
      </c>
      <c r="F76" s="221" t="s">
        <v>178</v>
      </c>
      <c r="G76" s="221" t="s">
        <v>839</v>
      </c>
      <c r="H76" s="220" t="s">
        <v>505</v>
      </c>
      <c r="I76" s="220" t="s">
        <v>506</v>
      </c>
    </row>
    <row r="77" spans="2:9" x14ac:dyDescent="0.25">
      <c r="B77" s="220" t="s">
        <v>846</v>
      </c>
      <c r="C77" s="687">
        <v>1</v>
      </c>
      <c r="D77" s="710" t="str">
        <f t="shared" si="2"/>
        <v>TSHFOOHF-E</v>
      </c>
      <c r="E77" s="220" t="s">
        <v>847</v>
      </c>
      <c r="F77" s="221" t="s">
        <v>178</v>
      </c>
      <c r="G77" s="221" t="s">
        <v>839</v>
      </c>
      <c r="H77" s="220" t="s">
        <v>505</v>
      </c>
      <c r="I77" s="220" t="s">
        <v>506</v>
      </c>
    </row>
    <row r="78" spans="2:9" x14ac:dyDescent="0.25">
      <c r="B78" s="225"/>
      <c r="C78" s="687"/>
      <c r="D78" s="710" t="str">
        <f t="shared" si="2"/>
        <v>*</v>
      </c>
      <c r="E78" s="220"/>
      <c r="F78" s="221"/>
      <c r="G78" s="221"/>
      <c r="H78" s="220"/>
      <c r="I78" s="220"/>
    </row>
    <row r="79" spans="2:9" x14ac:dyDescent="0.25">
      <c r="B79" s="220"/>
      <c r="C79" s="687"/>
      <c r="D79" s="710" t="str">
        <f t="shared" si="2"/>
        <v>*</v>
      </c>
      <c r="E79" s="220"/>
      <c r="F79" s="221"/>
      <c r="G79" s="221"/>
      <c r="H79" s="220"/>
      <c r="I79" s="220"/>
    </row>
    <row r="80" spans="2:9" x14ac:dyDescent="0.25">
      <c r="B80" s="220"/>
      <c r="C80" s="687"/>
      <c r="D80" s="710" t="str">
        <f t="shared" si="2"/>
        <v>*</v>
      </c>
      <c r="E80" s="220"/>
      <c r="F80" s="221"/>
      <c r="G80" s="221"/>
      <c r="H80" s="220"/>
      <c r="I80" s="220"/>
    </row>
    <row r="81" spans="2:9" x14ac:dyDescent="0.25">
      <c r="B81" s="220"/>
      <c r="C81" s="687"/>
      <c r="D81" s="710" t="str">
        <f t="shared" si="2"/>
        <v>*</v>
      </c>
      <c r="E81" s="220"/>
      <c r="F81" s="221"/>
      <c r="G81" s="221"/>
      <c r="H81" s="220"/>
      <c r="I81" s="220"/>
    </row>
    <row r="82" spans="2:9" x14ac:dyDescent="0.25">
      <c r="B82" s="220"/>
      <c r="C82" s="687"/>
      <c r="D82" s="710" t="str">
        <f t="shared" si="2"/>
        <v>*</v>
      </c>
      <c r="E82" s="220"/>
      <c r="F82" s="221"/>
      <c r="G82" s="221"/>
      <c r="H82" s="220"/>
      <c r="I82" s="220"/>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E3A3C-E6E8-46BA-9B5B-6AC315777440}">
  <sheetPr>
    <tabColor rgb="FF00B0F0"/>
  </sheetPr>
  <dimension ref="B1:W82"/>
  <sheetViews>
    <sheetView workbookViewId="0">
      <selection activeCell="B6" sqref="B6"/>
    </sheetView>
  </sheetViews>
  <sheetFormatPr defaultRowHeight="15" x14ac:dyDescent="0.25"/>
  <cols>
    <col min="1" max="1" width="3.42578125" customWidth="1"/>
    <col min="2" max="2" width="16.85546875" style="382" customWidth="1"/>
    <col min="3" max="3" width="54.5703125" style="218" customWidth="1"/>
    <col min="4" max="5" width="10.5703125" style="218" customWidth="1"/>
    <col min="6" max="6" width="12.5703125" style="218" customWidth="1"/>
    <col min="7" max="10" width="10.5703125" style="218" customWidth="1"/>
    <col min="11" max="11" width="14.42578125" style="218" customWidth="1"/>
    <col min="12" max="15" width="10.42578125" style="218" customWidth="1"/>
    <col min="16" max="16" width="10.5703125" style="218" customWidth="1"/>
    <col min="17" max="21" width="9.85546875" style="218" customWidth="1"/>
    <col min="22" max="23" width="10.5703125" style="218" customWidth="1"/>
  </cols>
  <sheetData>
    <row r="1" spans="2:23" ht="20.25" thickBot="1" x14ac:dyDescent="0.35">
      <c r="B1" s="217" t="s">
        <v>1102</v>
      </c>
    </row>
    <row r="2" spans="2:23" ht="15.75" thickTop="1" x14ac:dyDescent="0.25"/>
    <row r="3" spans="2:23" ht="18" thickBot="1" x14ac:dyDescent="0.35">
      <c r="E3" s="383" t="s">
        <v>546</v>
      </c>
      <c r="F3" s="218" t="s">
        <v>204</v>
      </c>
      <c r="G3" s="218" t="s">
        <v>204</v>
      </c>
      <c r="H3" s="218" t="s">
        <v>204</v>
      </c>
      <c r="I3" s="218" t="s">
        <v>204</v>
      </c>
      <c r="J3" s="218" t="s">
        <v>204</v>
      </c>
      <c r="K3" s="218" t="s">
        <v>203</v>
      </c>
      <c r="L3" s="218" t="s">
        <v>203</v>
      </c>
      <c r="M3" s="218" t="s">
        <v>203</v>
      </c>
      <c r="N3" s="218" t="s">
        <v>203</v>
      </c>
      <c r="O3" s="218" t="s">
        <v>203</v>
      </c>
      <c r="P3" s="218" t="s">
        <v>202</v>
      </c>
      <c r="Q3" s="218" t="s">
        <v>205</v>
      </c>
      <c r="R3" s="218" t="s">
        <v>205</v>
      </c>
      <c r="S3" s="218" t="s">
        <v>205</v>
      </c>
      <c r="T3" s="218" t="s">
        <v>205</v>
      </c>
      <c r="U3" s="218" t="s">
        <v>205</v>
      </c>
    </row>
    <row r="4" spans="2:23" ht="31.5" thickTop="1" thickBot="1" x14ac:dyDescent="0.3">
      <c r="B4" s="339" t="s">
        <v>1</v>
      </c>
      <c r="C4" s="339" t="s">
        <v>2</v>
      </c>
      <c r="D4" s="339" t="s">
        <v>527</v>
      </c>
      <c r="E4" s="339" t="s">
        <v>528</v>
      </c>
      <c r="F4" s="375" t="s">
        <v>529</v>
      </c>
      <c r="G4" s="375" t="s">
        <v>530</v>
      </c>
      <c r="H4" s="375" t="s">
        <v>531</v>
      </c>
      <c r="I4" s="375" t="s">
        <v>532</v>
      </c>
      <c r="J4" s="375" t="s">
        <v>533</v>
      </c>
      <c r="K4" s="378" t="s">
        <v>534</v>
      </c>
      <c r="L4" s="378" t="s">
        <v>535</v>
      </c>
      <c r="M4" s="378" t="s">
        <v>536</v>
      </c>
      <c r="N4" s="378" t="s">
        <v>537</v>
      </c>
      <c r="O4" s="378" t="s">
        <v>538</v>
      </c>
      <c r="P4" s="378" t="s">
        <v>202</v>
      </c>
      <c r="Q4" s="375" t="s">
        <v>539</v>
      </c>
      <c r="R4" s="375" t="s">
        <v>540</v>
      </c>
      <c r="S4" s="375" t="s">
        <v>541</v>
      </c>
      <c r="T4" s="375" t="s">
        <v>542</v>
      </c>
      <c r="U4" s="375" t="s">
        <v>543</v>
      </c>
      <c r="V4" s="339" t="s">
        <v>544</v>
      </c>
      <c r="W4" s="339" t="s">
        <v>545</v>
      </c>
    </row>
    <row r="5" spans="2:23" x14ac:dyDescent="0.25">
      <c r="B5" s="384" t="s">
        <v>503</v>
      </c>
      <c r="C5" s="224"/>
      <c r="D5" s="224"/>
      <c r="E5" s="224"/>
      <c r="F5" s="224">
        <v>2017</v>
      </c>
      <c r="G5" s="224">
        <v>2020</v>
      </c>
      <c r="H5" s="224">
        <v>2030</v>
      </c>
      <c r="I5" s="224">
        <v>2040</v>
      </c>
      <c r="J5" s="224">
        <v>2050</v>
      </c>
      <c r="K5" s="224">
        <v>2017</v>
      </c>
      <c r="L5" s="224">
        <v>2020</v>
      </c>
      <c r="M5" s="224">
        <v>2030</v>
      </c>
      <c r="N5" s="224">
        <v>2040</v>
      </c>
      <c r="O5" s="224">
        <v>2050</v>
      </c>
      <c r="P5" s="224" t="s">
        <v>232</v>
      </c>
      <c r="Q5" s="224">
        <v>2017</v>
      </c>
      <c r="R5" s="224">
        <v>2020</v>
      </c>
      <c r="S5" s="224">
        <v>2030</v>
      </c>
      <c r="T5" s="224">
        <v>2040</v>
      </c>
      <c r="U5" s="224">
        <v>2050</v>
      </c>
      <c r="V5" s="224"/>
      <c r="W5" s="224"/>
    </row>
    <row r="6" spans="2:23" ht="30" x14ac:dyDescent="0.25">
      <c r="B6" s="385" t="str">
        <f>IF(ITEMS_Tech_E!D6="","",ITEMS_Tech_E!D6)</f>
        <v>*</v>
      </c>
      <c r="C6" s="232" t="str">
        <f>IF(ITEMS_Tech_E!E6="","",ITEMS_Tech_E!E6)</f>
        <v>Private SUVS</v>
      </c>
      <c r="D6" s="374"/>
      <c r="E6" s="374"/>
      <c r="F6" s="376" t="s">
        <v>227</v>
      </c>
      <c r="G6" s="376">
        <f>IFERROR(INDEX('EFF-E_ANTC'!$C$4:$H$47,MATCH($B6,'EFF-E_ANTC'!$A$4:$A$47,0),MATCH(G$5,'EFF-E_ANTC'!$C$3:$H$3,0)),"")</f>
        <v>6.4532835825940396E-2</v>
      </c>
      <c r="H6" s="376">
        <f>IFERROR(INDEX('EFF-E_ANTC'!$C$4:$H$47,MATCH($B6,'EFF-E_ANTC'!$A$4:$A$47,0),MATCH(H$5,'EFF-E_ANTC'!$C$3:$H$3,0)),"")</f>
        <v>6.5227894002483106E-2</v>
      </c>
      <c r="I6" s="376">
        <f>IFERROR(INDEX('EFF-E_ANTC'!$C$4:$H$47,MATCH($B6,'EFF-E_ANTC'!$A$4:$A$47,0),MATCH(I$5,'EFF-E_ANTC'!$C$3:$H$3,0)),"")</f>
        <v>6.6011283101863896E-2</v>
      </c>
      <c r="J6" s="376">
        <f>IFERROR(INDEX('EFF-E_ANTC'!$C$4:$H$47,MATCH($B6,'EFF-E_ANTC'!$A$4:$A$47,0),MATCH(J$5,'EFF-E_ANTC'!$C$3:$H$3,0)),"")</f>
        <v>6.6777008175099004E-2</v>
      </c>
      <c r="K6" s="379" t="s">
        <v>806</v>
      </c>
      <c r="L6" s="379">
        <f>IFERROR(INDEX('AFA-E_ANTC'!$J$5:$O$48,MATCH($B6,'AFA-E_ANTC'!$A$5:$A$48,0),MATCH(L$5,'AFA-E_ANTC'!$J$3:$O$3,0)),"")</f>
        <v>0.33706878442068333</v>
      </c>
      <c r="M6" s="379">
        <f>IFERROR(INDEX('AFA-E_ANTC'!$J$5:$O$48,MATCH($B6,'AFA-E_ANTC'!$A$5:$A$48,0),MATCH(M$5,'AFA-E_ANTC'!$J$3:$O$3,0)),"")</f>
        <v>0.15171434294469499</v>
      </c>
      <c r="N6" s="379">
        <f>IFERROR(INDEX('AFA-E_ANTC'!$J$5:$O$48,MATCH($B6,'AFA-E_ANTC'!$A$5:$A$48,0),MATCH(N$5,'AFA-E_ANTC'!$J$3:$O$3,0)),"")</f>
        <v>6.6477490540613332E-2</v>
      </c>
      <c r="O6" s="379">
        <f>IFERROR(INDEX('AFA-E_ANTC'!$J$5:$O$48,MATCH($B6,'AFA-E_ANTC'!$A$5:$A$48,0),MATCH(O$5,'AFA-E_ANTC'!$J$3:$O$3,0)),"")</f>
        <v>2.8637041139474666E-2</v>
      </c>
      <c r="P6" s="379" t="s">
        <v>807</v>
      </c>
      <c r="Q6" s="380" t="s">
        <v>554</v>
      </c>
      <c r="R6" s="381">
        <f>IFERROR(INDEX('RESID-E_ANTC'!$M$5:$T$48,MATCH($B6,'RESID-E_ANTC'!$A$5:$A$48,0),MATCH(R$5,'RESID-E_ANTC'!$M$3:$T$3,0)),"")</f>
        <v>23.083651962362801</v>
      </c>
      <c r="S6" s="381">
        <f>IFERROR(INDEX('RESID-E_ANTC'!$M$5:$T$48,MATCH($B6,'RESID-E_ANTC'!$A$5:$A$48,0),MATCH(S$5,'RESID-E_ANTC'!$M$3:$T$3,0)),"")</f>
        <v>15.5161252325553</v>
      </c>
      <c r="T6" s="381">
        <f>IFERROR(INDEX('RESID-E_ANTC'!$M$5:$T$48,MATCH($B6,'RESID-E_ANTC'!$A$5:$A$48,0),MATCH(T$5,'RESID-E_ANTC'!$M$3:$T$3,0)),"")</f>
        <v>0</v>
      </c>
      <c r="U6" s="381">
        <f>IFERROR(INDEX('RESID-E_ANTC'!$M$5:$T$48,MATCH($B6,'RESID-E_ANTC'!$A$5:$A$48,0),MATCH(U$5,'RESID-E_ANTC'!$M$3:$T$3,0)),"")</f>
        <v>0</v>
      </c>
      <c r="V6" s="219"/>
      <c r="W6" s="219"/>
    </row>
    <row r="7" spans="2:23" x14ac:dyDescent="0.25">
      <c r="B7" s="385" t="str">
        <f>IF(ITEMS_Tech_E!D7="","",ITEMS_Tech_E!D7)</f>
        <v>TPPRSUVODS-E</v>
      </c>
      <c r="C7" s="232" t="str">
        <f>IF(ITEMS_Tech_E!E7="","",ITEMS_Tech_E!E7)</f>
        <v>Transport Passenger SUV Priv.Veh. Oil Diesel-Existing</v>
      </c>
      <c r="D7" s="219" t="s">
        <v>411</v>
      </c>
      <c r="E7" s="219" t="s">
        <v>283</v>
      </c>
      <c r="F7" s="377">
        <f>IFERROR(INDEX('EFF-E_ANTC'!$C$4:$H$47,MATCH($B7,'EFF-E_ANTC'!$A$4:$A$47,0),MATCH(F$5,'EFF-E_ANTC'!$C$3:$H$3,0)),"")</f>
        <v>0.23305744392160199</v>
      </c>
      <c r="G7" s="377">
        <f>IFERROR(INDEX('EFF-E_ANTC'!$C$4:$H$47,MATCH($B7,'EFF-E_ANTC'!$A$4:$A$47,0),MATCH(G$5,'EFF-E_ANTC'!$C$3:$H$3,0)),"")</f>
        <v>0.23340599419800401</v>
      </c>
      <c r="H7" s="377">
        <f>IFERROR(INDEX('EFF-E_ANTC'!$C$4:$H$47,MATCH($B7,'EFF-E_ANTC'!$A$4:$A$47,0),MATCH(H$5,'EFF-E_ANTC'!$C$3:$H$3,0)),"")</f>
        <v>0.23509880748513301</v>
      </c>
      <c r="I7" s="377">
        <f>IFERROR(INDEX('EFF-E_ANTC'!$C$4:$H$47,MATCH($B7,'EFF-E_ANTC'!$A$4:$A$47,0),MATCH(I$5,'EFF-E_ANTC'!$C$3:$H$3,0)),"")</f>
        <v>0.237131336819111</v>
      </c>
      <c r="J7" s="377">
        <f>IFERROR(INDEX('EFF-E_ANTC'!$C$4:$H$47,MATCH($B7,'EFF-E_ANTC'!$A$4:$A$47,0),MATCH(J$5,'EFF-E_ANTC'!$C$3:$H$3,0)),"")</f>
        <v>0.23904134817290701</v>
      </c>
      <c r="K7" s="379">
        <f>IFERROR(INDEX('AFA-E_ANTC'!$J$5:$O$48,MATCH($B7,'AFA-E_ANTC'!$A$5:$A$48,0),MATCH(K$5,'AFA-E_ANTC'!$J$3:$O$3,0)),"")</f>
        <v>0.81296586924800007</v>
      </c>
      <c r="L7" s="379">
        <f>IFERROR(INDEX('AFA-E_ANTC'!$J$5:$O$48,MATCH($B7,'AFA-E_ANTC'!$A$5:$A$48,0),MATCH(L$5,'AFA-E_ANTC'!$J$3:$O$3,0)),"")</f>
        <v>0.72582156475611248</v>
      </c>
      <c r="M7" s="379">
        <f>IFERROR(INDEX('AFA-E_ANTC'!$J$5:$O$48,MATCH($B7,'AFA-E_ANTC'!$A$5:$A$48,0),MATCH(M$5,'AFA-E_ANTC'!$J$3:$O$3,0)),"")</f>
        <v>0.50210233773774582</v>
      </c>
      <c r="N7" s="379">
        <f>IFERROR(INDEX('AFA-E_ANTC'!$J$5:$O$48,MATCH($B7,'AFA-E_ANTC'!$A$5:$A$48,0),MATCH(N$5,'AFA-E_ANTC'!$J$3:$O$3,0)),"")</f>
        <v>0.34928235472323665</v>
      </c>
      <c r="O7" s="379">
        <f>IFERROR(INDEX('AFA-E_ANTC'!$J$5:$O$48,MATCH($B7,'AFA-E_ANTC'!$A$5:$A$48,0),MATCH(O$5,'AFA-E_ANTC'!$J$3:$O$3,0)),"")</f>
        <v>0.24228368202297001</v>
      </c>
      <c r="P7" s="379">
        <f>IFERROR(INDEX('AFA-E_ANTC'!$P$5:$P$48,MATCH($B7,'AFA-E_ANTC'!$A$5:$A$48,0)),"")</f>
        <v>2.4E-2</v>
      </c>
      <c r="Q7" s="381">
        <f>IFERROR(INDEX('RESID-E_ANTC'!$M$5:$T$48,MATCH($B7,'RESID-E_ANTC'!$A$5:$A$48,0),MATCH(Q$5,'RESID-E_ANTC'!$M$3:$T$3,0)),"")</f>
        <v>439.31608188194201</v>
      </c>
      <c r="R7" s="381">
        <f>IFERROR(INDEX('RESID-E_ANTC'!$M$5:$T$48,MATCH($B7,'RESID-E_ANTC'!$A$5:$A$48,0),MATCH(R$5,'RESID-E_ANTC'!$M$3:$T$3,0)),"")</f>
        <v>423.99215654706899</v>
      </c>
      <c r="S7" s="381">
        <f>IFERROR(INDEX('RESID-E_ANTC'!$M$5:$T$48,MATCH($B7,'RESID-E_ANTC'!$A$5:$A$48,0),MATCH(S$5,'RESID-E_ANTC'!$M$3:$T$3,0)),"")</f>
        <v>305.37671951021599</v>
      </c>
      <c r="T7" s="381">
        <f>IFERROR(INDEX('RESID-E_ANTC'!$M$5:$T$48,MATCH($B7,'RESID-E_ANTC'!$A$5:$A$48,0),MATCH(T$5,'RESID-E_ANTC'!$M$3:$T$3,0)),"")</f>
        <v>0</v>
      </c>
      <c r="U7" s="381">
        <f>IFERROR(INDEX('RESID-E_ANTC'!$M$5:$T$48,MATCH($B7,'RESID-E_ANTC'!$A$5:$A$48,0),MATCH(U$5,'RESID-E_ANTC'!$M$3:$T$3,0)),"")</f>
        <v>0</v>
      </c>
      <c r="V7" s="231">
        <v>3</v>
      </c>
      <c r="W7" s="231">
        <v>0</v>
      </c>
    </row>
    <row r="8" spans="2:23" x14ac:dyDescent="0.25">
      <c r="B8" s="385" t="str">
        <f>IF(ITEMS_Tech_E!D8="","",ITEMS_Tech_E!D8)</f>
        <v>TPPRSUVOGS-E</v>
      </c>
      <c r="C8" s="232" t="str">
        <f>IF(ITEMS_Tech_E!E8="","",ITEMS_Tech_E!E8)</f>
        <v>Transport Passenger SUV Priv.Veh. Oil Gasoline-Existing</v>
      </c>
      <c r="D8" s="219" t="s">
        <v>413</v>
      </c>
      <c r="E8" s="219" t="s">
        <v>283</v>
      </c>
      <c r="F8" s="377">
        <f>IFERROR(INDEX('EFF-E_ANTC'!$C$4:$H$47,MATCH($B8,'EFF-E_ANTC'!$A$4:$A$47,0),MATCH(F$5,'EFF-E_ANTC'!$C$3:$H$3,0)),"")</f>
        <v>0.21576687545224399</v>
      </c>
      <c r="G8" s="377">
        <f>IFERROR(INDEX('EFF-E_ANTC'!$C$4:$H$47,MATCH($B8,'EFF-E_ANTC'!$A$4:$A$47,0),MATCH(G$5,'EFF-E_ANTC'!$C$3:$H$3,0)),"")</f>
        <v>0.21618578391000501</v>
      </c>
      <c r="H8" s="377">
        <f>IFERROR(INDEX('EFF-E_ANTC'!$C$4:$H$47,MATCH($B8,'EFF-E_ANTC'!$A$4:$A$47,0),MATCH(H$5,'EFF-E_ANTC'!$C$3:$H$3,0)),"")</f>
        <v>0.218019202930891</v>
      </c>
      <c r="I8" s="377">
        <f>IFERROR(INDEX('EFF-E_ANTC'!$C$4:$H$47,MATCH($B8,'EFF-E_ANTC'!$A$4:$A$47,0),MATCH(I$5,'EFF-E_ANTC'!$C$3:$H$3,0)),"")</f>
        <v>0.220066514706491</v>
      </c>
      <c r="J8" s="377">
        <f>IFERROR(INDEX('EFF-E_ANTC'!$C$4:$H$47,MATCH($B8,'EFF-E_ANTC'!$A$4:$A$47,0),MATCH(J$5,'EFF-E_ANTC'!$C$3:$H$3,0)),"")</f>
        <v>0.22191326959965599</v>
      </c>
      <c r="K8" s="379">
        <f>IFERROR(INDEX('AFA-E_ANTC'!$J$5:$O$48,MATCH($B8,'AFA-E_ANTC'!$A$5:$A$48,0),MATCH(K$5,'AFA-E_ANTC'!$J$3:$O$3,0)),"")</f>
        <v>0.80199601758945427</v>
      </c>
      <c r="L8" s="379">
        <f>IFERROR(INDEX('AFA-E_ANTC'!$J$5:$O$48,MATCH($B8,'AFA-E_ANTC'!$A$5:$A$48,0),MATCH(L$5,'AFA-E_ANTC'!$J$3:$O$3,0)),"")</f>
        <v>0.71756577178729175</v>
      </c>
      <c r="M8" s="379">
        <f>IFERROR(INDEX('AFA-E_ANTC'!$J$5:$O$48,MATCH($B8,'AFA-E_ANTC'!$A$5:$A$48,0),MATCH(M$5,'AFA-E_ANTC'!$J$3:$O$3,0)),"")</f>
        <v>0.49922132867142915</v>
      </c>
      <c r="N8" s="379">
        <f>IFERROR(INDEX('AFA-E_ANTC'!$J$5:$O$48,MATCH($B8,'AFA-E_ANTC'!$A$5:$A$48,0),MATCH(N$5,'AFA-E_ANTC'!$J$3:$O$3,0)),"")</f>
        <v>0.34847106259439709</v>
      </c>
      <c r="O8" s="379">
        <f>IFERROR(INDEX('AFA-E_ANTC'!$J$5:$O$48,MATCH($B8,'AFA-E_ANTC'!$A$5:$A$48,0),MATCH(O$5,'AFA-E_ANTC'!$J$3:$O$3,0)),"")</f>
        <v>0.24213269062880041</v>
      </c>
      <c r="P8" s="379">
        <f>IFERROR(INDEX('AFA-E_ANTC'!$P$5:$P$48,MATCH($B8,'AFA-E_ANTC'!$A$5:$A$48,0)),"")</f>
        <v>2.4E-2</v>
      </c>
      <c r="Q8" s="381">
        <f>IFERROR(INDEX('RESID-E_ANTC'!$M$5:$T$48,MATCH($B8,'RESID-E_ANTC'!$A$5:$A$48,0),MATCH(Q$5,'RESID-E_ANTC'!$M$3:$T$3,0)),"")</f>
        <v>476.243900144387</v>
      </c>
      <c r="R8" s="381">
        <f>IFERROR(INDEX('RESID-E_ANTC'!$M$5:$T$48,MATCH($B8,'RESID-E_ANTC'!$A$5:$A$48,0),MATCH(R$5,'RESID-E_ANTC'!$M$3:$T$3,0)),"")</f>
        <v>456.37773432999398</v>
      </c>
      <c r="S8" s="381">
        <f>IFERROR(INDEX('RESID-E_ANTC'!$M$5:$T$48,MATCH($B8,'RESID-E_ANTC'!$A$5:$A$48,0),MATCH(S$5,'RESID-E_ANTC'!$M$3:$T$3,0)),"")</f>
        <v>321.47565435311702</v>
      </c>
      <c r="T8" s="381">
        <f>IFERROR(INDEX('RESID-E_ANTC'!$M$5:$T$48,MATCH($B8,'RESID-E_ANTC'!$A$5:$A$48,0),MATCH(T$5,'RESID-E_ANTC'!$M$3:$T$3,0)),"")</f>
        <v>0</v>
      </c>
      <c r="U8" s="381">
        <f>IFERROR(INDEX('RESID-E_ANTC'!$M$5:$T$48,MATCH($B8,'RESID-E_ANTC'!$A$5:$A$48,0),MATCH(U$5,'RESID-E_ANTC'!$M$3:$T$3,0)),"")</f>
        <v>0</v>
      </c>
      <c r="V8" s="231">
        <v>3</v>
      </c>
      <c r="W8" s="231">
        <v>0</v>
      </c>
    </row>
    <row r="9" spans="2:23" x14ac:dyDescent="0.25">
      <c r="B9" s="385" t="str">
        <f>IF(ITEMS_Tech_E!D9="","",ITEMS_Tech_E!D9)</f>
        <v>TPPRSUVOGSH-E</v>
      </c>
      <c r="C9" s="232" t="str">
        <f>IF(ITEMS_Tech_E!E9="","",ITEMS_Tech_E!E9)</f>
        <v>Transport Passenger SUV Priv.Veh. Oil GasolineHybrid-Existing</v>
      </c>
      <c r="D9" s="219" t="s">
        <v>413</v>
      </c>
      <c r="E9" s="219" t="s">
        <v>283</v>
      </c>
      <c r="F9" s="377">
        <f>IFERROR(INDEX('EFF-E_ANTC'!$C$4:$H$47,MATCH($B9,'EFF-E_ANTC'!$A$4:$A$47,0),MATCH(F$5,'EFF-E_ANTC'!$C$3:$H$3,0)),"")</f>
        <v>0.42759293682001998</v>
      </c>
      <c r="G9" s="377">
        <f>IFERROR(INDEX('EFF-E_ANTC'!$C$4:$H$47,MATCH($B9,'EFF-E_ANTC'!$A$4:$A$47,0),MATCH(G$5,'EFF-E_ANTC'!$C$3:$H$3,0)),"")</f>
        <v>0.42775501230198898</v>
      </c>
      <c r="H9" s="377">
        <f>IFERROR(INDEX('EFF-E_ANTC'!$C$4:$H$47,MATCH($B9,'EFF-E_ANTC'!$A$4:$A$47,0),MATCH(H$5,'EFF-E_ANTC'!$C$3:$H$3,0)),"")</f>
        <v>0.42938928409693999</v>
      </c>
      <c r="I9" s="377">
        <f>IFERROR(INDEX('EFF-E_ANTC'!$C$4:$H$47,MATCH($B9,'EFF-E_ANTC'!$A$4:$A$47,0),MATCH(I$5,'EFF-E_ANTC'!$C$3:$H$3,0)),"")</f>
        <v>0.43322071824803499</v>
      </c>
      <c r="J9" s="377">
        <f>IFERROR(INDEX('EFF-E_ANTC'!$C$4:$H$47,MATCH($B9,'EFF-E_ANTC'!$A$4:$A$47,0),MATCH(J$5,'EFF-E_ANTC'!$C$3:$H$3,0)),"")</f>
        <v>0.43867505244828803</v>
      </c>
      <c r="K9" s="379">
        <f>IFERROR(INDEX('AFA-E_ANTC'!$J$5:$O$48,MATCH($B9,'AFA-E_ANTC'!$A$5:$A$48,0),MATCH(K$5,'AFA-E_ANTC'!$J$3:$O$3,0)),"")</f>
        <v>0.82589871967482076</v>
      </c>
      <c r="L9" s="379">
        <f>IFERROR(INDEX('AFA-E_ANTC'!$J$5:$O$48,MATCH($B9,'AFA-E_ANTC'!$A$5:$A$48,0),MATCH(L$5,'AFA-E_ANTC'!$J$3:$O$3,0)),"")</f>
        <v>0.73361846696394994</v>
      </c>
      <c r="M9" s="379">
        <f>IFERROR(INDEX('AFA-E_ANTC'!$J$5:$O$48,MATCH($B9,'AFA-E_ANTC'!$A$5:$A$48,0),MATCH(M$5,'AFA-E_ANTC'!$J$3:$O$3,0)),"")</f>
        <v>0.49931853558417916</v>
      </c>
      <c r="N9" s="379">
        <f>IFERROR(INDEX('AFA-E_ANTC'!$J$5:$O$48,MATCH($B9,'AFA-E_ANTC'!$A$5:$A$48,0),MATCH(N$5,'AFA-E_ANTC'!$J$3:$O$3,0)),"")</f>
        <v>0.34695802486143246</v>
      </c>
      <c r="O9" s="379">
        <f>IFERROR(INDEX('AFA-E_ANTC'!$J$5:$O$48,MATCH($B9,'AFA-E_ANTC'!$A$5:$A$48,0),MATCH(O$5,'AFA-E_ANTC'!$J$3:$O$3,0)),"")</f>
        <v>0.24494321746974082</v>
      </c>
      <c r="P9" s="379">
        <f>IFERROR(INDEX('AFA-E_ANTC'!$P$5:$P$48,MATCH($B9,'AFA-E_ANTC'!$A$5:$A$48,0)),"")</f>
        <v>2.4E-2</v>
      </c>
      <c r="Q9" s="381">
        <f>IFERROR(INDEX('RESID-E_ANTC'!$M$5:$T$48,MATCH($B9,'RESID-E_ANTC'!$A$5:$A$48,0),MATCH(Q$5,'RESID-E_ANTC'!$M$3:$T$3,0)),"")</f>
        <v>0.80312517525851201</v>
      </c>
      <c r="R9" s="381">
        <f>IFERROR(INDEX('RESID-E_ANTC'!$M$5:$T$48,MATCH($B9,'RESID-E_ANTC'!$A$5:$A$48,0),MATCH(R$5,'RESID-E_ANTC'!$M$3:$T$3,0)),"")</f>
        <v>0.78934356053377797</v>
      </c>
      <c r="S9" s="381">
        <f>IFERROR(INDEX('RESID-E_ANTC'!$M$5:$T$48,MATCH($B9,'RESID-E_ANTC'!$A$5:$A$48,0),MATCH(S$5,'RESID-E_ANTC'!$M$3:$T$3,0)),"")</f>
        <v>0.60265953422099805</v>
      </c>
      <c r="T9" s="381">
        <f>IFERROR(INDEX('RESID-E_ANTC'!$M$5:$T$48,MATCH($B9,'RESID-E_ANTC'!$A$5:$A$48,0),MATCH(T$5,'RESID-E_ANTC'!$M$3:$T$3,0)),"")</f>
        <v>0</v>
      </c>
      <c r="U9" s="381">
        <f>IFERROR(INDEX('RESID-E_ANTC'!$M$5:$T$48,MATCH($B9,'RESID-E_ANTC'!$A$5:$A$48,0),MATCH(U$5,'RESID-E_ANTC'!$M$3:$T$3,0)),"")</f>
        <v>0</v>
      </c>
      <c r="V9" s="231">
        <v>3</v>
      </c>
      <c r="W9" s="231">
        <v>0</v>
      </c>
    </row>
    <row r="10" spans="2:23" x14ac:dyDescent="0.25">
      <c r="B10" s="385" t="str">
        <f>IF(ITEMS_Tech_E!D10="","",ITEMS_Tech_E!D10)</f>
        <v>TPPRSUVELC-E</v>
      </c>
      <c r="C10" s="232" t="str">
        <f>IF(ITEMS_Tech_E!E10="","",ITEMS_Tech_E!E10)</f>
        <v>Transport Passenger SUV Priv.Veh. Electricity-Existing</v>
      </c>
      <c r="D10" s="219" t="s">
        <v>412</v>
      </c>
      <c r="E10" s="219" t="s">
        <v>283</v>
      </c>
      <c r="F10" s="377">
        <f>IFERROR(INDEX('EFF-E_ANTC'!$C$4:$H$47,MATCH($B10,'EFF-E_ANTC'!$A$4:$A$47,0),MATCH(F$5,'EFF-E_ANTC'!$C$3:$H$3,0)),"")</f>
        <v>1.4770000000000001</v>
      </c>
      <c r="G10" s="377">
        <f>IFERROR(INDEX('EFF-E_ANTC'!$C$4:$H$47,MATCH($B10,'EFF-E_ANTC'!$A$4:$A$47,0),MATCH(G$5,'EFF-E_ANTC'!$C$3:$H$3,0)),"")</f>
        <v>1.4770000000000001</v>
      </c>
      <c r="H10" s="377">
        <f>IFERROR(INDEX('EFF-E_ANTC'!$C$4:$H$47,MATCH($B10,'EFF-E_ANTC'!$A$4:$A$47,0),MATCH(H$5,'EFF-E_ANTC'!$C$3:$H$3,0)),"")</f>
        <v>1.4770000000000001</v>
      </c>
      <c r="I10" s="377">
        <f>IFERROR(INDEX('EFF-E_ANTC'!$C$4:$H$47,MATCH($B10,'EFF-E_ANTC'!$A$4:$A$47,0),MATCH(I$5,'EFF-E_ANTC'!$C$3:$H$3,0)),"")</f>
        <v>1.4770000000000001</v>
      </c>
      <c r="J10" s="377">
        <f>IFERROR(INDEX('EFF-E_ANTC'!$C$4:$H$47,MATCH($B10,'EFF-E_ANTC'!$A$4:$A$47,0),MATCH(J$5,'EFF-E_ANTC'!$C$3:$H$3,0)),"")</f>
        <v>1.4770000000000001</v>
      </c>
      <c r="K10" s="379">
        <f>IFERROR(INDEX('AFA-E_ANTC'!$J$5:$O$48,MATCH($B10,'AFA-E_ANTC'!$A$5:$A$48,0),MATCH(K$5,'AFA-E_ANTC'!$J$3:$O$3,0)),"")</f>
        <v>0.88237470217706671</v>
      </c>
      <c r="L10" s="379">
        <f>IFERROR(INDEX('AFA-E_ANTC'!$J$5:$O$48,MATCH($B10,'AFA-E_ANTC'!$A$5:$A$48,0),MATCH(L$5,'AFA-E_ANTC'!$J$3:$O$3,0)),"")</f>
        <v>0.78267591281561666</v>
      </c>
      <c r="M10" s="379">
        <f>IFERROR(INDEX('AFA-E_ANTC'!$J$5:$O$48,MATCH($B10,'AFA-E_ANTC'!$A$5:$A$48,0),MATCH(M$5,'AFA-E_ANTC'!$J$3:$O$3,0)),"")</f>
        <v>0.52550417082036249</v>
      </c>
      <c r="N10" s="379">
        <f>IFERROR(INDEX('AFA-E_ANTC'!$J$5:$O$48,MATCH($B10,'AFA-E_ANTC'!$A$5:$A$48,0),MATCH(N$5,'AFA-E_ANTC'!$J$3:$O$3,0)),"")</f>
        <v>0.35378762629532456</v>
      </c>
      <c r="O10" s="379">
        <f>IFERROR(INDEX('AFA-E_ANTC'!$J$5:$O$48,MATCH($B10,'AFA-E_ANTC'!$A$5:$A$48,0),MATCH(O$5,'AFA-E_ANTC'!$J$3:$O$3,0)),"")</f>
        <v>0.23886240471698916</v>
      </c>
      <c r="P10" s="379">
        <f>IFERROR(INDEX('AFA-E_ANTC'!$P$5:$P$48,MATCH($B10,'AFA-E_ANTC'!$A$5:$A$48,0)),"")</f>
        <v>2.4E-2</v>
      </c>
      <c r="Q10" s="381">
        <f>IFERROR(INDEX('RESID-E_ANTC'!$M$5:$T$48,MATCH($B10,'RESID-E_ANTC'!$A$5:$A$48,0),MATCH(Q$5,'RESID-E_ANTC'!$M$3:$T$3,0)),"")</f>
        <v>0</v>
      </c>
      <c r="R10" s="381">
        <f>IFERROR(INDEX('RESID-E_ANTC'!$M$5:$T$48,MATCH($B10,'RESID-E_ANTC'!$A$5:$A$48,0),MATCH(R$5,'RESID-E_ANTC'!$M$3:$T$3,0)),"")</f>
        <v>0</v>
      </c>
      <c r="S10" s="381">
        <f>IFERROR(INDEX('RESID-E_ANTC'!$M$5:$T$48,MATCH($B10,'RESID-E_ANTC'!$A$5:$A$48,0),MATCH(S$5,'RESID-E_ANTC'!$M$3:$T$3,0)),"")</f>
        <v>0</v>
      </c>
      <c r="T10" s="381">
        <f>IFERROR(INDEX('RESID-E_ANTC'!$M$5:$T$48,MATCH($B10,'RESID-E_ANTC'!$A$5:$A$48,0),MATCH(T$5,'RESID-E_ANTC'!$M$3:$T$3,0)),"")</f>
        <v>0</v>
      </c>
      <c r="U10" s="381">
        <f>IFERROR(INDEX('RESID-E_ANTC'!$M$5:$T$48,MATCH($B10,'RESID-E_ANTC'!$A$5:$A$48,0),MATCH(U$5,'RESID-E_ANTC'!$M$3:$T$3,0)),"")</f>
        <v>0</v>
      </c>
      <c r="V10" s="231">
        <v>3</v>
      </c>
      <c r="W10" s="231">
        <v>0</v>
      </c>
    </row>
    <row r="11" spans="2:23" x14ac:dyDescent="0.25">
      <c r="B11" s="385" t="str">
        <f>IF(ITEMS_Tech_E!D11="","",ITEMS_Tech_E!D11)</f>
        <v>*</v>
      </c>
      <c r="C11" s="232" t="str">
        <f>IF(ITEMS_Tech_E!E11="","",ITEMS_Tech_E!E11)</f>
        <v>Transport Passenger SUV Priv.Veh. Oil DieselHybrid-Existing</v>
      </c>
      <c r="D11" s="219" t="s">
        <v>411</v>
      </c>
      <c r="E11" s="219" t="s">
        <v>283</v>
      </c>
      <c r="F11" s="377">
        <f>IFERROR(INDEX('EFF-E_ANTC'!$C$4:$H$47,MATCH($B11,'EFF-E_ANTC'!$A$4:$A$47,0),MATCH(F$5,'EFF-E_ANTC'!$C$3:$H$3,0)),"")</f>
        <v>6.4348339348895098E-2</v>
      </c>
      <c r="G11" s="377">
        <f>IFERROR(INDEX('EFF-E_ANTC'!$C$4:$H$47,MATCH($B11,'EFF-E_ANTC'!$A$4:$A$47,0),MATCH(G$5,'EFF-E_ANTC'!$C$3:$H$3,0)),"")</f>
        <v>6.4532835825940396E-2</v>
      </c>
      <c r="H11" s="377">
        <f>IFERROR(INDEX('EFF-E_ANTC'!$C$4:$H$47,MATCH($B11,'EFF-E_ANTC'!$A$4:$A$47,0),MATCH(H$5,'EFF-E_ANTC'!$C$3:$H$3,0)),"")</f>
        <v>6.5227894002483106E-2</v>
      </c>
      <c r="I11" s="377">
        <f>IFERROR(INDEX('EFF-E_ANTC'!$C$4:$H$47,MATCH($B11,'EFF-E_ANTC'!$A$4:$A$47,0),MATCH(I$5,'EFF-E_ANTC'!$C$3:$H$3,0)),"")</f>
        <v>6.6011283101863896E-2</v>
      </c>
      <c r="J11" s="377">
        <f>IFERROR(INDEX('EFF-E_ANTC'!$C$4:$H$47,MATCH($B11,'EFF-E_ANTC'!$A$4:$A$47,0),MATCH(J$5,'EFF-E_ANTC'!$C$3:$H$3,0)),"")</f>
        <v>6.6777008175099004E-2</v>
      </c>
      <c r="K11" s="379">
        <f>IFERROR(INDEX('AFA-E_ANTC'!$J$5:$O$48,MATCH($B11,'AFA-E_ANTC'!$A$5:$A$48,0),MATCH(K$5,'AFA-E_ANTC'!$J$3:$O$3,0)),"")</f>
        <v>0.42532283795650333</v>
      </c>
      <c r="L11" s="379">
        <f>IFERROR(INDEX('AFA-E_ANTC'!$J$5:$O$48,MATCH($B11,'AFA-E_ANTC'!$A$5:$A$48,0),MATCH(L$5,'AFA-E_ANTC'!$J$3:$O$3,0)),"")</f>
        <v>0.33706878442068333</v>
      </c>
      <c r="M11" s="379">
        <f>IFERROR(INDEX('AFA-E_ANTC'!$J$5:$O$48,MATCH($B11,'AFA-E_ANTC'!$A$5:$A$48,0),MATCH(M$5,'AFA-E_ANTC'!$J$3:$O$3,0)),"")</f>
        <v>0.15171434294469499</v>
      </c>
      <c r="N11" s="379">
        <f>IFERROR(INDEX('AFA-E_ANTC'!$J$5:$O$48,MATCH($B11,'AFA-E_ANTC'!$A$5:$A$48,0),MATCH(N$5,'AFA-E_ANTC'!$J$3:$O$3,0)),"")</f>
        <v>6.6477490540613332E-2</v>
      </c>
      <c r="O11" s="379">
        <f>IFERROR(INDEX('AFA-E_ANTC'!$J$5:$O$48,MATCH($B11,'AFA-E_ANTC'!$A$5:$A$48,0),MATCH(O$5,'AFA-E_ANTC'!$J$3:$O$3,0)),"")</f>
        <v>2.8637041139474666E-2</v>
      </c>
      <c r="P11" s="379">
        <f>IFERROR(INDEX('AFA-E_ANTC'!$P$5:$P$48,MATCH($B11,'AFA-E_ANTC'!$A$5:$A$48,0)),"")</f>
        <v>0.06</v>
      </c>
      <c r="Q11" s="381">
        <f>IFERROR(INDEX('RESID-E_ANTC'!$M$5:$T$48,MATCH($B11,'RESID-E_ANTC'!$A$5:$A$48,0),MATCH(Q$5,'RESID-E_ANTC'!$M$3:$T$3,0)),"")</f>
        <v>25.1952522652347</v>
      </c>
      <c r="R11" s="381">
        <f>IFERROR(INDEX('RESID-E_ANTC'!$M$5:$T$48,MATCH($B11,'RESID-E_ANTC'!$A$5:$A$48,0),MATCH(R$5,'RESID-E_ANTC'!$M$3:$T$3,0)),"")</f>
        <v>23.083651962362801</v>
      </c>
      <c r="S11" s="381">
        <f>IFERROR(INDEX('RESID-E_ANTC'!$M$5:$T$48,MATCH($B11,'RESID-E_ANTC'!$A$5:$A$48,0),MATCH(S$5,'RESID-E_ANTC'!$M$3:$T$3,0)),"")</f>
        <v>15.5161252325553</v>
      </c>
      <c r="T11" s="381">
        <f>IFERROR(INDEX('RESID-E_ANTC'!$M$5:$T$48,MATCH($B11,'RESID-E_ANTC'!$A$5:$A$48,0),MATCH(T$5,'RESID-E_ANTC'!$M$3:$T$3,0)),"")</f>
        <v>0</v>
      </c>
      <c r="U11" s="381">
        <f>IFERROR(INDEX('RESID-E_ANTC'!$M$5:$T$48,MATCH($B11,'RESID-E_ANTC'!$A$5:$A$48,0),MATCH(U$5,'RESID-E_ANTC'!$M$3:$T$3,0)),"")</f>
        <v>0</v>
      </c>
      <c r="V11" s="231">
        <v>3</v>
      </c>
      <c r="W11" s="231">
        <v>0</v>
      </c>
    </row>
    <row r="12" spans="2:23" x14ac:dyDescent="0.25">
      <c r="B12" s="385" t="str">
        <f>IF(ITEMS_Tech_E!D12="","",ITEMS_Tech_E!D12)</f>
        <v>TPPRSUVGAS-E</v>
      </c>
      <c r="C12" s="232" t="str">
        <f>IF(ITEMS_Tech_E!E12="","",ITEMS_Tech_E!E12)</f>
        <v>Transport Passenger SUV Priv.Veh. Gas-Existing</v>
      </c>
      <c r="D12" s="219" t="s">
        <v>563</v>
      </c>
      <c r="E12" s="219" t="s">
        <v>283</v>
      </c>
      <c r="F12" s="377">
        <f>IFERROR(INDEX('EFF-E_ANTC'!$C$4:$H$47,MATCH($B12,'EFF-E_ANTC'!$A$4:$A$47,0),MATCH(F$5,'EFF-E_ANTC'!$C$3:$H$3,0)),"")</f>
        <v>0.2275981390437018</v>
      </c>
      <c r="G12" s="377">
        <f>IFERROR(INDEX('EFF-E_ANTC'!$C$4:$H$47,MATCH($B12,'EFF-E_ANTC'!$A$4:$A$47,0),MATCH(G$5,'EFF-E_ANTC'!$C$3:$H$3,0)),"")</f>
        <v>0.2275981390437018</v>
      </c>
      <c r="H12" s="377">
        <f>IFERROR(INDEX('EFF-E_ANTC'!$C$4:$H$47,MATCH($B12,'EFF-E_ANTC'!$A$4:$A$47,0),MATCH(H$5,'EFF-E_ANTC'!$C$3:$H$3,0)),"")</f>
        <v>0.2275981390437018</v>
      </c>
      <c r="I12" s="377">
        <f>IFERROR(INDEX('EFF-E_ANTC'!$C$4:$H$47,MATCH($B12,'EFF-E_ANTC'!$A$4:$A$47,0),MATCH(I$5,'EFF-E_ANTC'!$C$3:$H$3,0)),"")</f>
        <v>0.2275981390437018</v>
      </c>
      <c r="J12" s="377">
        <f>IFERROR(INDEX('EFF-E_ANTC'!$C$4:$H$47,MATCH($B12,'EFF-E_ANTC'!$A$4:$A$47,0),MATCH(J$5,'EFF-E_ANTC'!$C$3:$H$3,0)),"")</f>
        <v>0.2275981390437018</v>
      </c>
      <c r="K12" s="379">
        <f>IFERROR(INDEX('AFA-E_ANTC'!$J$5:$O$48,MATCH($B12,'AFA-E_ANTC'!$A$5:$A$48,0),MATCH(K$5,'AFA-E_ANTC'!$J$3:$O$3,0)),"")</f>
        <v>0</v>
      </c>
      <c r="L12" s="379">
        <f>IFERROR(INDEX('AFA-E_ANTC'!$J$5:$O$48,MATCH($B12,'AFA-E_ANTC'!$A$5:$A$48,0),MATCH(L$5,'AFA-E_ANTC'!$J$3:$O$3,0)),"")</f>
        <v>0.86453294302156691</v>
      </c>
      <c r="M12" s="379">
        <f>IFERROR(INDEX('AFA-E_ANTC'!$J$5:$O$48,MATCH($B12,'AFA-E_ANTC'!$A$5:$A$48,0),MATCH(M$5,'AFA-E_ANTC'!$J$3:$O$3,0)),"")</f>
        <v>0.60146860603516217</v>
      </c>
      <c r="N12" s="379">
        <f>IFERROR(INDEX('AFA-E_ANTC'!$J$5:$O$48,MATCH($B12,'AFA-E_ANTC'!$A$5:$A$48,0),MATCH(N$5,'AFA-E_ANTC'!$J$3:$O$3,0)),"")</f>
        <v>0.41984264738855298</v>
      </c>
      <c r="O12" s="379">
        <f>IFERROR(INDEX('AFA-E_ANTC'!$J$5:$O$48,MATCH($B12,'AFA-E_ANTC'!$A$5:$A$48,0),MATCH(O$5,'AFA-E_ANTC'!$J$3:$O$3,0)),"")</f>
        <v>0.29172473919658987</v>
      </c>
      <c r="P12" s="379">
        <f>IFERROR(INDEX('AFA-E_ANTC'!$P$5:$P$48,MATCH($B12,'AFA-E_ANTC'!$A$5:$A$48,0)),"")</f>
        <v>1.9920095193486899E-2</v>
      </c>
      <c r="Q12" s="381">
        <f>IFERROR(INDEX('RESID-E_ANTC'!$M$5:$T$48,MATCH($B12,'RESID-E_ANTC'!$A$5:$A$48,0),MATCH(Q$5,'RESID-E_ANTC'!$M$3:$T$3,0)),"")</f>
        <v>23.812195007219351</v>
      </c>
      <c r="R12" s="381">
        <f>IFERROR(INDEX('RESID-E_ANTC'!$M$5:$T$48,MATCH($B12,'RESID-E_ANTC'!$A$5:$A$48,0),MATCH(R$5,'RESID-E_ANTC'!$M$3:$T$3,0)),"")</f>
        <v>22.818886716499701</v>
      </c>
      <c r="S12" s="381">
        <f>IFERROR(INDEX('RESID-E_ANTC'!$M$5:$T$48,MATCH($B12,'RESID-E_ANTC'!$A$5:$A$48,0),MATCH(S$5,'RESID-E_ANTC'!$M$3:$T$3,0)),"")</f>
        <v>16.073782717655853</v>
      </c>
      <c r="T12" s="381">
        <f>IFERROR(INDEX('RESID-E_ANTC'!$M$5:$T$48,MATCH($B12,'RESID-E_ANTC'!$A$5:$A$48,0),MATCH(T$5,'RESID-E_ANTC'!$M$3:$T$3,0)),"")</f>
        <v>0</v>
      </c>
      <c r="U12" s="381">
        <f>IFERROR(INDEX('RESID-E_ANTC'!$M$5:$T$48,MATCH($B12,'RESID-E_ANTC'!$A$5:$A$48,0),MATCH(U$5,'RESID-E_ANTC'!$M$3:$T$3,0)),"")</f>
        <v>0</v>
      </c>
      <c r="V12" s="231">
        <v>3</v>
      </c>
      <c r="W12" s="231">
        <v>0</v>
      </c>
    </row>
    <row r="13" spans="2:23" x14ac:dyDescent="0.25">
      <c r="B13" s="385" t="str">
        <f>IF(ITEMS_Tech_E!D13="","",ITEMS_Tech_E!D13)</f>
        <v>*</v>
      </c>
      <c r="C13" s="232" t="str">
        <f>IF(ITEMS_Tech_E!E13="","",ITEMS_Tech_E!E13)</f>
        <v/>
      </c>
      <c r="D13" s="374"/>
      <c r="E13" s="374"/>
      <c r="F13" s="377">
        <f>IFERROR(INDEX('EFF-E_ANTC'!$C$4:$H$47,MATCH($B13,'EFF-E_ANTC'!$A$4:$A$47,0),MATCH(F$5,'EFF-E_ANTC'!$C$3:$H$3,0)),"")</f>
        <v>6.4348339348895098E-2</v>
      </c>
      <c r="G13" s="377">
        <f>IFERROR(INDEX('EFF-E_ANTC'!$C$4:$H$47,MATCH($B13,'EFF-E_ANTC'!$A$4:$A$47,0),MATCH(G$5,'EFF-E_ANTC'!$C$3:$H$3,0)),"")</f>
        <v>6.4532835825940396E-2</v>
      </c>
      <c r="H13" s="377">
        <f>IFERROR(INDEX('EFF-E_ANTC'!$C$4:$H$47,MATCH($B13,'EFF-E_ANTC'!$A$4:$A$47,0),MATCH(H$5,'EFF-E_ANTC'!$C$3:$H$3,0)),"")</f>
        <v>6.5227894002483106E-2</v>
      </c>
      <c r="I13" s="377">
        <f>IFERROR(INDEX('EFF-E_ANTC'!$C$4:$H$47,MATCH($B13,'EFF-E_ANTC'!$A$4:$A$47,0),MATCH(I$5,'EFF-E_ANTC'!$C$3:$H$3,0)),"")</f>
        <v>6.6011283101863896E-2</v>
      </c>
      <c r="J13" s="377">
        <f>IFERROR(INDEX('EFF-E_ANTC'!$C$4:$H$47,MATCH($B13,'EFF-E_ANTC'!$A$4:$A$47,0),MATCH(J$5,'EFF-E_ANTC'!$C$3:$H$3,0)),"")</f>
        <v>6.6777008175099004E-2</v>
      </c>
      <c r="K13" s="379">
        <f>IFERROR(INDEX('AFA-E_ANTC'!$J$5:$O$48,MATCH($B13,'AFA-E_ANTC'!$A$5:$A$48,0),MATCH(K$5,'AFA-E_ANTC'!$J$3:$O$3,0)),"")</f>
        <v>0.42532283795650333</v>
      </c>
      <c r="L13" s="379">
        <f>IFERROR(INDEX('AFA-E_ANTC'!$J$5:$O$48,MATCH($B13,'AFA-E_ANTC'!$A$5:$A$48,0),MATCH(L$5,'AFA-E_ANTC'!$J$3:$O$3,0)),"")</f>
        <v>0.33706878442068333</v>
      </c>
      <c r="M13" s="379">
        <f>IFERROR(INDEX('AFA-E_ANTC'!$J$5:$O$48,MATCH($B13,'AFA-E_ANTC'!$A$5:$A$48,0),MATCH(M$5,'AFA-E_ANTC'!$J$3:$O$3,0)),"")</f>
        <v>0.15171434294469499</v>
      </c>
      <c r="N13" s="379">
        <f>IFERROR(INDEX('AFA-E_ANTC'!$J$5:$O$48,MATCH($B13,'AFA-E_ANTC'!$A$5:$A$48,0),MATCH(N$5,'AFA-E_ANTC'!$J$3:$O$3,0)),"")</f>
        <v>6.6477490540613332E-2</v>
      </c>
      <c r="O13" s="379">
        <f>IFERROR(INDEX('AFA-E_ANTC'!$J$5:$O$48,MATCH($B13,'AFA-E_ANTC'!$A$5:$A$48,0),MATCH(O$5,'AFA-E_ANTC'!$J$3:$O$3,0)),"")</f>
        <v>2.8637041139474666E-2</v>
      </c>
      <c r="P13" s="379">
        <f>IFERROR(INDEX('AFA-E_ANTC'!$P$5:$P$48,MATCH($B13,'AFA-E_ANTC'!$A$5:$A$48,0)),"")</f>
        <v>0.06</v>
      </c>
      <c r="Q13" s="381">
        <f>IFERROR(INDEX('RESID-E_ANTC'!$M$5:$T$48,MATCH($B13,'RESID-E_ANTC'!$A$5:$A$48,0),MATCH(Q$5,'RESID-E_ANTC'!$M$3:$T$3,0)),"")</f>
        <v>25.1952522652347</v>
      </c>
      <c r="R13" s="381">
        <f>IFERROR(INDEX('RESID-E_ANTC'!$M$5:$T$48,MATCH($B13,'RESID-E_ANTC'!$A$5:$A$48,0),MATCH(R$5,'RESID-E_ANTC'!$M$3:$T$3,0)),"")</f>
        <v>23.083651962362801</v>
      </c>
      <c r="S13" s="381">
        <f>IFERROR(INDEX('RESID-E_ANTC'!$M$5:$T$48,MATCH($B13,'RESID-E_ANTC'!$A$5:$A$48,0),MATCH(S$5,'RESID-E_ANTC'!$M$3:$T$3,0)),"")</f>
        <v>15.5161252325553</v>
      </c>
      <c r="T13" s="381">
        <f>IFERROR(INDEX('RESID-E_ANTC'!$M$5:$T$48,MATCH($B13,'RESID-E_ANTC'!$A$5:$A$48,0),MATCH(T$5,'RESID-E_ANTC'!$M$3:$T$3,0)),"")</f>
        <v>0</v>
      </c>
      <c r="U13" s="381">
        <f>IFERROR(INDEX('RESID-E_ANTC'!$M$5:$T$48,MATCH($B13,'RESID-E_ANTC'!$A$5:$A$48,0),MATCH(U$5,'RESID-E_ANTC'!$M$3:$T$3,0)),"")</f>
        <v>0</v>
      </c>
      <c r="V13" s="231"/>
      <c r="W13" s="231"/>
    </row>
    <row r="14" spans="2:23" x14ac:dyDescent="0.25">
      <c r="B14" s="385" t="str">
        <f>IF(ITEMS_Tech_E!D14="","",ITEMS_Tech_E!D14)</f>
        <v>*</v>
      </c>
      <c r="C14" s="232" t="str">
        <f>IF(ITEMS_Tech_E!E14="","",ITEMS_Tech_E!E14)</f>
        <v/>
      </c>
      <c r="D14" s="374"/>
      <c r="E14" s="374"/>
      <c r="F14" s="377">
        <f>IFERROR(INDEX('EFF-E_ANTC'!$C$4:$H$47,MATCH($B14,'EFF-E_ANTC'!$A$4:$A$47,0),MATCH(F$5,'EFF-E_ANTC'!$C$3:$H$3,0)),"")</f>
        <v>6.4348339348895098E-2</v>
      </c>
      <c r="G14" s="377">
        <f>IFERROR(INDEX('EFF-E_ANTC'!$C$4:$H$47,MATCH($B14,'EFF-E_ANTC'!$A$4:$A$47,0),MATCH(G$5,'EFF-E_ANTC'!$C$3:$H$3,0)),"")</f>
        <v>6.4532835825940396E-2</v>
      </c>
      <c r="H14" s="377">
        <f>IFERROR(INDEX('EFF-E_ANTC'!$C$4:$H$47,MATCH($B14,'EFF-E_ANTC'!$A$4:$A$47,0),MATCH(H$5,'EFF-E_ANTC'!$C$3:$H$3,0)),"")</f>
        <v>6.5227894002483106E-2</v>
      </c>
      <c r="I14" s="377">
        <f>IFERROR(INDEX('EFF-E_ANTC'!$C$4:$H$47,MATCH($B14,'EFF-E_ANTC'!$A$4:$A$47,0),MATCH(I$5,'EFF-E_ANTC'!$C$3:$H$3,0)),"")</f>
        <v>6.6011283101863896E-2</v>
      </c>
      <c r="J14" s="377">
        <f>IFERROR(INDEX('EFF-E_ANTC'!$C$4:$H$47,MATCH($B14,'EFF-E_ANTC'!$A$4:$A$47,0),MATCH(J$5,'EFF-E_ANTC'!$C$3:$H$3,0)),"")</f>
        <v>6.6777008175099004E-2</v>
      </c>
      <c r="K14" s="379">
        <f>IFERROR(INDEX('AFA-E_ANTC'!$J$5:$O$48,MATCH($B14,'AFA-E_ANTC'!$A$5:$A$48,0),MATCH(K$5,'AFA-E_ANTC'!$J$3:$O$3,0)),"")</f>
        <v>0.42532283795650333</v>
      </c>
      <c r="L14" s="379">
        <f>IFERROR(INDEX('AFA-E_ANTC'!$J$5:$O$48,MATCH($B14,'AFA-E_ANTC'!$A$5:$A$48,0),MATCH(L$5,'AFA-E_ANTC'!$J$3:$O$3,0)),"")</f>
        <v>0.33706878442068333</v>
      </c>
      <c r="M14" s="379">
        <f>IFERROR(INDEX('AFA-E_ANTC'!$J$5:$O$48,MATCH($B14,'AFA-E_ANTC'!$A$5:$A$48,0),MATCH(M$5,'AFA-E_ANTC'!$J$3:$O$3,0)),"")</f>
        <v>0.15171434294469499</v>
      </c>
      <c r="N14" s="379">
        <f>IFERROR(INDEX('AFA-E_ANTC'!$J$5:$O$48,MATCH($B14,'AFA-E_ANTC'!$A$5:$A$48,0),MATCH(N$5,'AFA-E_ANTC'!$J$3:$O$3,0)),"")</f>
        <v>6.6477490540613332E-2</v>
      </c>
      <c r="O14" s="379">
        <f>IFERROR(INDEX('AFA-E_ANTC'!$J$5:$O$48,MATCH($B14,'AFA-E_ANTC'!$A$5:$A$48,0),MATCH(O$5,'AFA-E_ANTC'!$J$3:$O$3,0)),"")</f>
        <v>2.8637041139474666E-2</v>
      </c>
      <c r="P14" s="379">
        <f>IFERROR(INDEX('AFA-E_ANTC'!$P$5:$P$48,MATCH($B14,'AFA-E_ANTC'!$A$5:$A$48,0)),"")</f>
        <v>0.06</v>
      </c>
      <c r="Q14" s="381">
        <f>IFERROR(INDEX('RESID-E_ANTC'!$M$5:$T$48,MATCH($B14,'RESID-E_ANTC'!$A$5:$A$48,0),MATCH(Q$5,'RESID-E_ANTC'!$M$3:$T$3,0)),"")</f>
        <v>25.1952522652347</v>
      </c>
      <c r="R14" s="381">
        <f>IFERROR(INDEX('RESID-E_ANTC'!$M$5:$T$48,MATCH($B14,'RESID-E_ANTC'!$A$5:$A$48,0),MATCH(R$5,'RESID-E_ANTC'!$M$3:$T$3,0)),"")</f>
        <v>23.083651962362801</v>
      </c>
      <c r="S14" s="381">
        <f>IFERROR(INDEX('RESID-E_ANTC'!$M$5:$T$48,MATCH($B14,'RESID-E_ANTC'!$A$5:$A$48,0),MATCH(S$5,'RESID-E_ANTC'!$M$3:$T$3,0)),"")</f>
        <v>15.5161252325553</v>
      </c>
      <c r="T14" s="381">
        <f>IFERROR(INDEX('RESID-E_ANTC'!$M$5:$T$48,MATCH($B14,'RESID-E_ANTC'!$A$5:$A$48,0),MATCH(T$5,'RESID-E_ANTC'!$M$3:$T$3,0)),"")</f>
        <v>0</v>
      </c>
      <c r="U14" s="381">
        <f>IFERROR(INDEX('RESID-E_ANTC'!$M$5:$T$48,MATCH($B14,'RESID-E_ANTC'!$A$5:$A$48,0),MATCH(U$5,'RESID-E_ANTC'!$M$3:$T$3,0)),"")</f>
        <v>0</v>
      </c>
      <c r="V14" s="231"/>
      <c r="W14" s="231"/>
    </row>
    <row r="15" spans="2:23" x14ac:dyDescent="0.25">
      <c r="B15" s="385" t="str">
        <f>IF(ITEMS_Tech_E!D15="","",ITEMS_Tech_E!D15)</f>
        <v>*</v>
      </c>
      <c r="C15" s="232" t="str">
        <f>IF(ITEMS_Tech_E!E15="","",ITEMS_Tech_E!E15)</f>
        <v>Private Cars</v>
      </c>
      <c r="D15" s="374"/>
      <c r="E15" s="374"/>
      <c r="F15" s="377">
        <f>IFERROR(INDEX('EFF-E_ANTC'!$C$4:$H$47,MATCH($B15,'EFF-E_ANTC'!$A$4:$A$47,0),MATCH(F$5,'EFF-E_ANTC'!$C$3:$H$3,0)),"")</f>
        <v>6.4348339348895098E-2</v>
      </c>
      <c r="G15" s="377">
        <f>IFERROR(INDEX('EFF-E_ANTC'!$C$4:$H$47,MATCH($B15,'EFF-E_ANTC'!$A$4:$A$47,0),MATCH(G$5,'EFF-E_ANTC'!$C$3:$H$3,0)),"")</f>
        <v>6.4532835825940396E-2</v>
      </c>
      <c r="H15" s="377">
        <f>IFERROR(INDEX('EFF-E_ANTC'!$C$4:$H$47,MATCH($B15,'EFF-E_ANTC'!$A$4:$A$47,0),MATCH(H$5,'EFF-E_ANTC'!$C$3:$H$3,0)),"")</f>
        <v>6.5227894002483106E-2</v>
      </c>
      <c r="I15" s="377">
        <f>IFERROR(INDEX('EFF-E_ANTC'!$C$4:$H$47,MATCH($B15,'EFF-E_ANTC'!$A$4:$A$47,0),MATCH(I$5,'EFF-E_ANTC'!$C$3:$H$3,0)),"")</f>
        <v>6.6011283101863896E-2</v>
      </c>
      <c r="J15" s="377">
        <f>IFERROR(INDEX('EFF-E_ANTC'!$C$4:$H$47,MATCH($B15,'EFF-E_ANTC'!$A$4:$A$47,0),MATCH(J$5,'EFF-E_ANTC'!$C$3:$H$3,0)),"")</f>
        <v>6.6777008175099004E-2</v>
      </c>
      <c r="K15" s="379">
        <f>IFERROR(INDEX('AFA-E_ANTC'!$J$5:$O$48,MATCH($B15,'AFA-E_ANTC'!$A$5:$A$48,0),MATCH(K$5,'AFA-E_ANTC'!$J$3:$O$3,0)),"")</f>
        <v>0.42532283795650333</v>
      </c>
      <c r="L15" s="379">
        <f>IFERROR(INDEX('AFA-E_ANTC'!$J$5:$O$48,MATCH($B15,'AFA-E_ANTC'!$A$5:$A$48,0),MATCH(L$5,'AFA-E_ANTC'!$J$3:$O$3,0)),"")</f>
        <v>0.33706878442068333</v>
      </c>
      <c r="M15" s="379">
        <f>IFERROR(INDEX('AFA-E_ANTC'!$J$5:$O$48,MATCH($B15,'AFA-E_ANTC'!$A$5:$A$48,0),MATCH(M$5,'AFA-E_ANTC'!$J$3:$O$3,0)),"")</f>
        <v>0.15171434294469499</v>
      </c>
      <c r="N15" s="379">
        <f>IFERROR(INDEX('AFA-E_ANTC'!$J$5:$O$48,MATCH($B15,'AFA-E_ANTC'!$A$5:$A$48,0),MATCH(N$5,'AFA-E_ANTC'!$J$3:$O$3,0)),"")</f>
        <v>6.6477490540613332E-2</v>
      </c>
      <c r="O15" s="379">
        <f>IFERROR(INDEX('AFA-E_ANTC'!$J$5:$O$48,MATCH($B15,'AFA-E_ANTC'!$A$5:$A$48,0),MATCH(O$5,'AFA-E_ANTC'!$J$3:$O$3,0)),"")</f>
        <v>2.8637041139474666E-2</v>
      </c>
      <c r="P15" s="379">
        <f>IFERROR(INDEX('AFA-E_ANTC'!$P$5:$P$48,MATCH($B15,'AFA-E_ANTC'!$A$5:$A$48,0)),"")</f>
        <v>0.06</v>
      </c>
      <c r="Q15" s="381">
        <f>IFERROR(INDEX('RESID-E_ANTC'!$M$5:$T$48,MATCH($B15,'RESID-E_ANTC'!$A$5:$A$48,0),MATCH(Q$5,'RESID-E_ANTC'!$M$3:$T$3,0)),"")</f>
        <v>25.1952522652347</v>
      </c>
      <c r="R15" s="381">
        <f>IFERROR(INDEX('RESID-E_ANTC'!$M$5:$T$48,MATCH($B15,'RESID-E_ANTC'!$A$5:$A$48,0),MATCH(R$5,'RESID-E_ANTC'!$M$3:$T$3,0)),"")</f>
        <v>23.083651962362801</v>
      </c>
      <c r="S15" s="381">
        <f>IFERROR(INDEX('RESID-E_ANTC'!$M$5:$T$48,MATCH($B15,'RESID-E_ANTC'!$A$5:$A$48,0),MATCH(S$5,'RESID-E_ANTC'!$M$3:$T$3,0)),"")</f>
        <v>15.5161252325553</v>
      </c>
      <c r="T15" s="381">
        <f>IFERROR(INDEX('RESID-E_ANTC'!$M$5:$T$48,MATCH($B15,'RESID-E_ANTC'!$A$5:$A$48,0),MATCH(T$5,'RESID-E_ANTC'!$M$3:$T$3,0)),"")</f>
        <v>0</v>
      </c>
      <c r="U15" s="381">
        <f>IFERROR(INDEX('RESID-E_ANTC'!$M$5:$T$48,MATCH($B15,'RESID-E_ANTC'!$A$5:$A$48,0),MATCH(U$5,'RESID-E_ANTC'!$M$3:$T$3,0)),"")</f>
        <v>0</v>
      </c>
      <c r="V15" s="231"/>
      <c r="W15" s="231"/>
    </row>
    <row r="16" spans="2:23" x14ac:dyDescent="0.25">
      <c r="B16" s="385" t="str">
        <f>IF(ITEMS_Tech_E!D16="","",ITEMS_Tech_E!D16)</f>
        <v>TPPRCARODS-E</v>
      </c>
      <c r="C16" s="232" t="str">
        <f>IF(ITEMS_Tech_E!E16="","",ITEMS_Tech_E!E16)</f>
        <v>Transport Passenger Car Priv.Veh. Oil Diesel-Existing</v>
      </c>
      <c r="D16" s="219" t="s">
        <v>411</v>
      </c>
      <c r="E16" s="219" t="s">
        <v>238</v>
      </c>
      <c r="F16" s="377">
        <f>IFERROR(INDEX('EFF-E_ANTC'!$C$4:$H$47,MATCH($B16,'EFF-E_ANTC'!$A$4:$A$47,0),MATCH(F$5,'EFF-E_ANTC'!$C$3:$H$3,0)),"")</f>
        <v>0.332001778720379</v>
      </c>
      <c r="G16" s="377">
        <f>IFERROR(INDEX('EFF-E_ANTC'!$C$4:$H$47,MATCH($B16,'EFF-E_ANTC'!$A$4:$A$47,0),MATCH(G$5,'EFF-E_ANTC'!$C$3:$H$3,0)),"")</f>
        <v>0.33265717758608498</v>
      </c>
      <c r="H16" s="377">
        <f>IFERROR(INDEX('EFF-E_ANTC'!$C$4:$H$47,MATCH($B16,'EFF-E_ANTC'!$A$4:$A$47,0),MATCH(H$5,'EFF-E_ANTC'!$C$3:$H$3,0)),"")</f>
        <v>0.33651934650542698</v>
      </c>
      <c r="I16" s="377">
        <f>IFERROR(INDEX('EFF-E_ANTC'!$C$4:$H$47,MATCH($B16,'EFF-E_ANTC'!$A$4:$A$47,0),MATCH(I$5,'EFF-E_ANTC'!$C$3:$H$3,0)),"")</f>
        <v>0.34211282028256701</v>
      </c>
      <c r="J16" s="377">
        <f>IFERROR(INDEX('EFF-E_ANTC'!$C$4:$H$47,MATCH($B16,'EFF-E_ANTC'!$A$4:$A$47,0),MATCH(J$5,'EFF-E_ANTC'!$C$3:$H$3,0)),"")</f>
        <v>0.34710783356449998</v>
      </c>
      <c r="K16" s="379">
        <f>IFERROR(INDEX('AFA-E_ANTC'!$J$5:$O$48,MATCH($B16,'AFA-E_ANTC'!$A$5:$A$48,0),MATCH(K$5,'AFA-E_ANTC'!$J$3:$O$3,0)),"")</f>
        <v>0.74353526714060447</v>
      </c>
      <c r="L16" s="379">
        <f>IFERROR(INDEX('AFA-E_ANTC'!$J$5:$O$48,MATCH($B16,'AFA-E_ANTC'!$A$5:$A$48,0),MATCH(L$5,'AFA-E_ANTC'!$J$3:$O$3,0)),"")</f>
        <v>0.66511435113411999</v>
      </c>
      <c r="M16" s="379">
        <f>IFERROR(INDEX('AFA-E_ANTC'!$J$5:$O$48,MATCH($B16,'AFA-E_ANTC'!$A$5:$A$48,0),MATCH(M$5,'AFA-E_ANTC'!$J$3:$O$3,0)),"")</f>
        <v>0.46809798221108001</v>
      </c>
      <c r="N16" s="379">
        <f>IFERROR(INDEX('AFA-E_ANTC'!$J$5:$O$48,MATCH($B16,'AFA-E_ANTC'!$A$5:$A$48,0),MATCH(N$5,'AFA-E_ANTC'!$J$3:$O$3,0)),"")</f>
        <v>0.33651453387780311</v>
      </c>
      <c r="O16" s="379">
        <f>IFERROR(INDEX('AFA-E_ANTC'!$J$5:$O$48,MATCH($B16,'AFA-E_ANTC'!$A$5:$A$48,0),MATCH(O$5,'AFA-E_ANTC'!$J$3:$O$3,0)),"")</f>
        <v>0.23993287366588575</v>
      </c>
      <c r="P16" s="379">
        <f>IFERROR(INDEX('AFA-E_ANTC'!$P$5:$P$48,MATCH($B16,'AFA-E_ANTC'!$A$5:$A$48,0)),"")</f>
        <v>2.2499999999999999E-2</v>
      </c>
      <c r="Q16" s="381">
        <f>IFERROR(INDEX('RESID-E_ANTC'!$M$5:$T$48,MATCH($B16,'RESID-E_ANTC'!$A$5:$A$48,0),MATCH(Q$5,'RESID-E_ANTC'!$M$3:$T$3,0)),"")</f>
        <v>387.58646835565298</v>
      </c>
      <c r="R16" s="381">
        <f>IFERROR(INDEX('RESID-E_ANTC'!$M$5:$T$48,MATCH($B16,'RESID-E_ANTC'!$A$5:$A$48,0),MATCH(R$5,'RESID-E_ANTC'!$M$3:$T$3,0)),"")</f>
        <v>369.96010154816298</v>
      </c>
      <c r="S16" s="381">
        <f>IFERROR(INDEX('RESID-E_ANTC'!$M$5:$T$48,MATCH($B16,'RESID-E_ANTC'!$A$5:$A$48,0),MATCH(S$5,'RESID-E_ANTC'!$M$3:$T$3,0)),"")</f>
        <v>243.13201263550999</v>
      </c>
      <c r="T16" s="381">
        <f>IFERROR(INDEX('RESID-E_ANTC'!$M$5:$T$48,MATCH($B16,'RESID-E_ANTC'!$A$5:$A$48,0),MATCH(T$5,'RESID-E_ANTC'!$M$3:$T$3,0)),"")</f>
        <v>0</v>
      </c>
      <c r="U16" s="381">
        <f>IFERROR(INDEX('RESID-E_ANTC'!$M$5:$T$48,MATCH($B16,'RESID-E_ANTC'!$A$5:$A$48,0),MATCH(U$5,'RESID-E_ANTC'!$M$3:$T$3,0)),"")</f>
        <v>0</v>
      </c>
      <c r="V16" s="231">
        <v>3</v>
      </c>
      <c r="W16" s="231">
        <v>0</v>
      </c>
    </row>
    <row r="17" spans="2:23" x14ac:dyDescent="0.25">
      <c r="B17" s="385" t="str">
        <f>IF(ITEMS_Tech_E!D17="","",ITEMS_Tech_E!D17)</f>
        <v>TPPRCAROGS-E</v>
      </c>
      <c r="C17" s="232" t="str">
        <f>IF(ITEMS_Tech_E!E17="","",ITEMS_Tech_E!E17)</f>
        <v>Transport Passenger Car Priv.Veh. Oil Gasoline-Existing</v>
      </c>
      <c r="D17" s="219" t="s">
        <v>413</v>
      </c>
      <c r="E17" s="219" t="s">
        <v>238</v>
      </c>
      <c r="F17" s="377">
        <f>IFERROR(INDEX('EFF-E_ANTC'!$C$4:$H$47,MATCH($B17,'EFF-E_ANTC'!$A$4:$A$47,0),MATCH(F$5,'EFF-E_ANTC'!$C$3:$H$3,0)),"")</f>
        <v>0.35686173917097103</v>
      </c>
      <c r="G17" s="377">
        <f>IFERROR(INDEX('EFF-E_ANTC'!$C$4:$H$47,MATCH($B17,'EFF-E_ANTC'!$A$4:$A$47,0),MATCH(G$5,'EFF-E_ANTC'!$C$3:$H$3,0)),"")</f>
        <v>0.35949352149263297</v>
      </c>
      <c r="H17" s="377">
        <f>IFERROR(INDEX('EFF-E_ANTC'!$C$4:$H$47,MATCH($B17,'EFF-E_ANTC'!$A$4:$A$47,0),MATCH(H$5,'EFF-E_ANTC'!$C$3:$H$3,0)),"")</f>
        <v>0.36773748352763003</v>
      </c>
      <c r="I17" s="377">
        <f>IFERROR(INDEX('EFF-E_ANTC'!$C$4:$H$47,MATCH($B17,'EFF-E_ANTC'!$A$4:$A$47,0),MATCH(I$5,'EFF-E_ANTC'!$C$3:$H$3,0)),"")</f>
        <v>0.374376610599086</v>
      </c>
      <c r="J17" s="377">
        <f>IFERROR(INDEX('EFF-E_ANTC'!$C$4:$H$47,MATCH($B17,'EFF-E_ANTC'!$A$4:$A$47,0),MATCH(J$5,'EFF-E_ANTC'!$C$3:$H$3,0)),"")</f>
        <v>0.37938792131855897</v>
      </c>
      <c r="K17" s="379">
        <f>IFERROR(INDEX('AFA-E_ANTC'!$J$5:$O$48,MATCH($B17,'AFA-E_ANTC'!$A$5:$A$48,0),MATCH(K$5,'AFA-E_ANTC'!$J$3:$O$3,0)),"")</f>
        <v>0.66163272647026705</v>
      </c>
      <c r="L17" s="379">
        <f>IFERROR(INDEX('AFA-E_ANTC'!$J$5:$O$48,MATCH($B17,'AFA-E_ANTC'!$A$5:$A$48,0),MATCH(L$5,'AFA-E_ANTC'!$J$3:$O$3,0)),"")</f>
        <v>0.60743419260068587</v>
      </c>
      <c r="M17" s="379">
        <f>IFERROR(INDEX('AFA-E_ANTC'!$J$5:$O$48,MATCH($B17,'AFA-E_ANTC'!$A$5:$A$48,0),MATCH(M$5,'AFA-E_ANTC'!$J$3:$O$3,0)),"")</f>
        <v>0.45202810845206859</v>
      </c>
      <c r="N17" s="379">
        <f>IFERROR(INDEX('AFA-E_ANTC'!$J$5:$O$48,MATCH($B17,'AFA-E_ANTC'!$A$5:$A$48,0),MATCH(N$5,'AFA-E_ANTC'!$J$3:$O$3,0)),"")</f>
        <v>0.32818308468972252</v>
      </c>
      <c r="O17" s="379">
        <f>IFERROR(INDEX('AFA-E_ANTC'!$J$5:$O$48,MATCH($B17,'AFA-E_ANTC'!$A$5:$A$48,0),MATCH(O$5,'AFA-E_ANTC'!$J$3:$O$3,0)),"")</f>
        <v>0.23311309769944608</v>
      </c>
      <c r="P17" s="379">
        <f>IFERROR(INDEX('AFA-E_ANTC'!$P$5:$P$48,MATCH($B17,'AFA-E_ANTC'!$A$5:$A$48,0)),"")</f>
        <v>1.9099999999999999E-2</v>
      </c>
      <c r="Q17" s="381">
        <f>IFERROR(INDEX('RESID-E_ANTC'!$M$5:$T$48,MATCH($B17,'RESID-E_ANTC'!$A$5:$A$48,0),MATCH(Q$5,'RESID-E_ANTC'!$M$3:$T$3,0)),"")</f>
        <v>5902.05729724512</v>
      </c>
      <c r="R17" s="381">
        <f>IFERROR(INDEX('RESID-E_ANTC'!$M$5:$T$48,MATCH($B17,'RESID-E_ANTC'!$A$5:$A$48,0),MATCH(R$5,'RESID-E_ANTC'!$M$3:$T$3,0)),"")</f>
        <v>5259.5090745597199</v>
      </c>
      <c r="S17" s="381">
        <f>IFERROR(INDEX('RESID-E_ANTC'!$M$5:$T$48,MATCH($B17,'RESID-E_ANTC'!$A$5:$A$48,0),MATCH(S$5,'RESID-E_ANTC'!$M$3:$T$3,0)),"")</f>
        <v>2963.6268741726399</v>
      </c>
      <c r="T17" s="381">
        <f>IFERROR(INDEX('RESID-E_ANTC'!$M$5:$T$48,MATCH($B17,'RESID-E_ANTC'!$A$5:$A$48,0),MATCH(T$5,'RESID-E_ANTC'!$M$3:$T$3,0)),"")</f>
        <v>0</v>
      </c>
      <c r="U17" s="381">
        <f>IFERROR(INDEX('RESID-E_ANTC'!$M$5:$T$48,MATCH($B17,'RESID-E_ANTC'!$A$5:$A$48,0),MATCH(U$5,'RESID-E_ANTC'!$M$3:$T$3,0)),"")</f>
        <v>0</v>
      </c>
      <c r="V17" s="231">
        <v>3</v>
      </c>
      <c r="W17" s="231">
        <v>0</v>
      </c>
    </row>
    <row r="18" spans="2:23" x14ac:dyDescent="0.25">
      <c r="B18" s="385" t="str">
        <f>IF(ITEMS_Tech_E!D18="","",ITEMS_Tech_E!D18)</f>
        <v>TPPRCAROGSH-E</v>
      </c>
      <c r="C18" s="232" t="str">
        <f>IF(ITEMS_Tech_E!E18="","",ITEMS_Tech_E!E18)</f>
        <v>Transport Passenger Car Priv.Veh. Oil GasolineHybrid-Existing</v>
      </c>
      <c r="D18" s="219" t="s">
        <v>413</v>
      </c>
      <c r="E18" s="219" t="s">
        <v>238</v>
      </c>
      <c r="F18" s="377">
        <f>IFERROR(INDEX('EFF-E_ANTC'!$C$4:$H$47,MATCH($B18,'EFF-E_ANTC'!$A$4:$A$47,0),MATCH(F$5,'EFF-E_ANTC'!$C$3:$H$3,0)),"")</f>
        <v>0.48634218857827199</v>
      </c>
      <c r="G18" s="377">
        <f>IFERROR(INDEX('EFF-E_ANTC'!$C$4:$H$47,MATCH($B18,'EFF-E_ANTC'!$A$4:$A$47,0),MATCH(G$5,'EFF-E_ANTC'!$C$3:$H$3,0)),"")</f>
        <v>0.48658239494189298</v>
      </c>
      <c r="H18" s="377">
        <f>IFERROR(INDEX('EFF-E_ANTC'!$C$4:$H$47,MATCH($B18,'EFF-E_ANTC'!$A$4:$A$47,0),MATCH(H$5,'EFF-E_ANTC'!$C$3:$H$3,0)),"")</f>
        <v>0.48849585750196101</v>
      </c>
      <c r="I18" s="377">
        <f>IFERROR(INDEX('EFF-E_ANTC'!$C$4:$H$47,MATCH($B18,'EFF-E_ANTC'!$A$4:$A$47,0),MATCH(I$5,'EFF-E_ANTC'!$C$3:$H$3,0)),"")</f>
        <v>0.492038428921173</v>
      </c>
      <c r="J18" s="377">
        <f>IFERROR(INDEX('EFF-E_ANTC'!$C$4:$H$47,MATCH($B18,'EFF-E_ANTC'!$A$4:$A$47,0),MATCH(J$5,'EFF-E_ANTC'!$C$3:$H$3,0)),"")</f>
        <v>0.49648557965280099</v>
      </c>
      <c r="K18" s="379">
        <f>IFERROR(INDEX('AFA-E_ANTC'!$J$5:$O$48,MATCH($B18,'AFA-E_ANTC'!$A$5:$A$48,0),MATCH(K$5,'AFA-E_ANTC'!$J$3:$O$3,0)),"")</f>
        <v>0.82349664056721994</v>
      </c>
      <c r="L18" s="379">
        <f>IFERROR(INDEX('AFA-E_ANTC'!$J$5:$O$48,MATCH($B18,'AFA-E_ANTC'!$A$5:$A$48,0),MATCH(L$5,'AFA-E_ANTC'!$J$3:$O$3,0)),"")</f>
        <v>0.73189081439097003</v>
      </c>
      <c r="M18" s="379">
        <f>IFERROR(INDEX('AFA-E_ANTC'!$J$5:$O$48,MATCH($B18,'AFA-E_ANTC'!$A$5:$A$48,0),MATCH(M$5,'AFA-E_ANTC'!$J$3:$O$3,0)),"")</f>
        <v>0.4986866685195705</v>
      </c>
      <c r="N18" s="379">
        <f>IFERROR(INDEX('AFA-E_ANTC'!$J$5:$O$48,MATCH($B18,'AFA-E_ANTC'!$A$5:$A$48,0),MATCH(N$5,'AFA-E_ANTC'!$J$3:$O$3,0)),"")</f>
        <v>0.34446144946444851</v>
      </c>
      <c r="O18" s="379">
        <f>IFERROR(INDEX('AFA-E_ANTC'!$J$5:$O$48,MATCH($B18,'AFA-E_ANTC'!$A$5:$A$48,0),MATCH(O$5,'AFA-E_ANTC'!$J$3:$O$3,0)),"")</f>
        <v>0.23965174138595799</v>
      </c>
      <c r="P18" s="379">
        <f>IFERROR(INDEX('AFA-E_ANTC'!$P$5:$P$48,MATCH($B18,'AFA-E_ANTC'!$A$5:$A$48,0)),"")</f>
        <v>0.02</v>
      </c>
      <c r="Q18" s="381">
        <f>IFERROR(INDEX('RESID-E_ANTC'!$M$5:$T$48,MATCH($B18,'RESID-E_ANTC'!$A$5:$A$48,0),MATCH(Q$5,'RESID-E_ANTC'!$M$3:$T$3,0)),"")</f>
        <v>4.1935845862025003</v>
      </c>
      <c r="R18" s="381">
        <f>IFERROR(INDEX('RESID-E_ANTC'!$M$5:$T$48,MATCH($B18,'RESID-E_ANTC'!$A$5:$A$48,0),MATCH(R$5,'RESID-E_ANTC'!$M$3:$T$3,0)),"")</f>
        <v>4.11763972020184</v>
      </c>
      <c r="S18" s="381">
        <f>IFERROR(INDEX('RESID-E_ANTC'!$M$5:$T$48,MATCH($B18,'RESID-E_ANTC'!$A$5:$A$48,0),MATCH(S$5,'RESID-E_ANTC'!$M$3:$T$3,0)),"")</f>
        <v>3.1386913845266902</v>
      </c>
      <c r="T18" s="381">
        <f>IFERROR(INDEX('RESID-E_ANTC'!$M$5:$T$48,MATCH($B18,'RESID-E_ANTC'!$A$5:$A$48,0),MATCH(T$5,'RESID-E_ANTC'!$M$3:$T$3,0)),"")</f>
        <v>0</v>
      </c>
      <c r="U18" s="381">
        <f>IFERROR(INDEX('RESID-E_ANTC'!$M$5:$T$48,MATCH($B18,'RESID-E_ANTC'!$A$5:$A$48,0),MATCH(U$5,'RESID-E_ANTC'!$M$3:$T$3,0)),"")</f>
        <v>0</v>
      </c>
      <c r="V18" s="231">
        <v>3</v>
      </c>
      <c r="W18" s="231">
        <v>0</v>
      </c>
    </row>
    <row r="19" spans="2:23" x14ac:dyDescent="0.25">
      <c r="B19" s="385" t="str">
        <f>IF(ITEMS_Tech_E!D19="","",ITEMS_Tech_E!D19)</f>
        <v>TPPRCARELC-E</v>
      </c>
      <c r="C19" s="232" t="str">
        <f>IF(ITEMS_Tech_E!E19="","",ITEMS_Tech_E!E19)</f>
        <v>Transport Passenger Car Priv.Veh. Electricity-Existing</v>
      </c>
      <c r="D19" s="219" t="s">
        <v>412</v>
      </c>
      <c r="E19" s="219" t="s">
        <v>238</v>
      </c>
      <c r="F19" s="377">
        <f>IFERROR(INDEX('EFF-E_ANTC'!$C$4:$H$47,MATCH($B19,'EFF-E_ANTC'!$A$4:$A$47,0),MATCH(F$5,'EFF-E_ANTC'!$C$3:$H$3,0)),"")</f>
        <v>1.60037643566239</v>
      </c>
      <c r="G19" s="377">
        <f>IFERROR(INDEX('EFF-E_ANTC'!$C$4:$H$47,MATCH($B19,'EFF-E_ANTC'!$A$4:$A$47,0),MATCH(G$5,'EFF-E_ANTC'!$C$3:$H$3,0)),"")</f>
        <v>1.60041633961525</v>
      </c>
      <c r="H19" s="377">
        <f>IFERROR(INDEX('EFF-E_ANTC'!$C$4:$H$47,MATCH($B19,'EFF-E_ANTC'!$A$4:$A$47,0),MATCH(H$5,'EFF-E_ANTC'!$C$3:$H$3,0)),"")</f>
        <v>1.6010609819072401</v>
      </c>
      <c r="I19" s="377">
        <f>IFERROR(INDEX('EFF-E_ANTC'!$C$4:$H$47,MATCH($B19,'EFF-E_ANTC'!$A$4:$A$47,0),MATCH(I$5,'EFF-E_ANTC'!$C$3:$H$3,0)),"")</f>
        <v>1.6027693715918201</v>
      </c>
      <c r="J19" s="377">
        <f>IFERROR(INDEX('EFF-E_ANTC'!$C$4:$H$47,MATCH($B19,'EFF-E_ANTC'!$A$4:$A$47,0),MATCH(J$5,'EFF-E_ANTC'!$C$3:$H$3,0)),"")</f>
        <v>1.6056042777811199</v>
      </c>
      <c r="K19" s="379">
        <f>IFERROR(INDEX('AFA-E_ANTC'!$J$5:$O$48,MATCH($B19,'AFA-E_ANTC'!$A$5:$A$48,0),MATCH(K$5,'AFA-E_ANTC'!$J$3:$O$3,0)),"")</f>
        <v>0.94119968232220452</v>
      </c>
      <c r="L19" s="379">
        <f>IFERROR(INDEX('AFA-E_ANTC'!$J$5:$O$48,MATCH($B19,'AFA-E_ANTC'!$A$5:$A$48,0),MATCH(L$5,'AFA-E_ANTC'!$J$3:$O$3,0)),"")</f>
        <v>0.83485430700332441</v>
      </c>
      <c r="M19" s="379">
        <f>IFERROR(INDEX('AFA-E_ANTC'!$J$5:$O$48,MATCH($B19,'AFA-E_ANTC'!$A$5:$A$48,0),MATCH(M$5,'AFA-E_ANTC'!$J$3:$O$3,0)),"")</f>
        <v>0.56053778220838668</v>
      </c>
      <c r="N19" s="379">
        <f>IFERROR(INDEX('AFA-E_ANTC'!$J$5:$O$48,MATCH($B19,'AFA-E_ANTC'!$A$5:$A$48,0),MATCH(N$5,'AFA-E_ANTC'!$J$3:$O$3,0)),"")</f>
        <v>0.37737346804834621</v>
      </c>
      <c r="O19" s="379">
        <f>IFERROR(INDEX('AFA-E_ANTC'!$J$5:$O$48,MATCH($B19,'AFA-E_ANTC'!$A$5:$A$48,0),MATCH(O$5,'AFA-E_ANTC'!$J$3:$O$3,0)),"")</f>
        <v>0.25478656503145514</v>
      </c>
      <c r="P19" s="379">
        <f>IFERROR(INDEX('AFA-E_ANTC'!$P$5:$P$48,MATCH($B19,'AFA-E_ANTC'!$A$5:$A$48,0)),"")</f>
        <v>2.2499999999999999E-2</v>
      </c>
      <c r="Q19" s="381">
        <f>IFERROR(INDEX('RESID-E_ANTC'!$M$5:$T$48,MATCH($B19,'RESID-E_ANTC'!$A$5:$A$48,0),MATCH(Q$5,'RESID-E_ANTC'!$M$3:$T$3,0)),"")</f>
        <v>0.33192828574538003</v>
      </c>
      <c r="R19" s="381">
        <f>IFERROR(INDEX('RESID-E_ANTC'!$M$5:$T$48,MATCH($B19,'RESID-E_ANTC'!$A$5:$A$48,0),MATCH(R$5,'RESID-E_ANTC'!$M$3:$T$3,0)),"")</f>
        <v>0.33103303930312999</v>
      </c>
      <c r="S19" s="381">
        <f>IFERROR(INDEX('RESID-E_ANTC'!$M$5:$T$48,MATCH($B19,'RESID-E_ANTC'!$A$5:$A$48,0),MATCH(S$5,'RESID-E_ANTC'!$M$3:$T$3,0)),"")</f>
        <v>0.29041173582530899</v>
      </c>
      <c r="T19" s="381">
        <f>IFERROR(INDEX('RESID-E_ANTC'!$M$5:$T$48,MATCH($B19,'RESID-E_ANTC'!$A$5:$A$48,0),MATCH(T$5,'RESID-E_ANTC'!$M$3:$T$3,0)),"")</f>
        <v>0</v>
      </c>
      <c r="U19" s="381">
        <f>IFERROR(INDEX('RESID-E_ANTC'!$M$5:$T$48,MATCH($B19,'RESID-E_ANTC'!$A$5:$A$48,0),MATCH(U$5,'RESID-E_ANTC'!$M$3:$T$3,0)),"")</f>
        <v>0</v>
      </c>
      <c r="V19" s="231">
        <v>3</v>
      </c>
      <c r="W19" s="231">
        <v>0</v>
      </c>
    </row>
    <row r="20" spans="2:23" x14ac:dyDescent="0.25">
      <c r="B20" s="385" t="str">
        <f>IF(ITEMS_Tech_E!D20="","",ITEMS_Tech_E!D20)</f>
        <v>*</v>
      </c>
      <c r="C20" s="232" t="str">
        <f>IF(ITEMS_Tech_E!E20="","",ITEMS_Tech_E!E20)</f>
        <v>Transport Passenger Car Priv.Veh. Oil DieselHybrid-Existing</v>
      </c>
      <c r="D20" s="219" t="s">
        <v>411</v>
      </c>
      <c r="E20" s="219" t="s">
        <v>238</v>
      </c>
      <c r="F20" s="377">
        <f>IFERROR(INDEX('EFF-E_ANTC'!$C$4:$H$47,MATCH($B20,'EFF-E_ANTC'!$A$4:$A$47,0),MATCH(F$5,'EFF-E_ANTC'!$C$3:$H$3,0)),"")</f>
        <v>6.4348339348895098E-2</v>
      </c>
      <c r="G20" s="377">
        <f>IFERROR(INDEX('EFF-E_ANTC'!$C$4:$H$47,MATCH($B20,'EFF-E_ANTC'!$A$4:$A$47,0),MATCH(G$5,'EFF-E_ANTC'!$C$3:$H$3,0)),"")</f>
        <v>6.4532835825940396E-2</v>
      </c>
      <c r="H20" s="377">
        <f>IFERROR(INDEX('EFF-E_ANTC'!$C$4:$H$47,MATCH($B20,'EFF-E_ANTC'!$A$4:$A$47,0),MATCH(H$5,'EFF-E_ANTC'!$C$3:$H$3,0)),"")</f>
        <v>6.5227894002483106E-2</v>
      </c>
      <c r="I20" s="377">
        <f>IFERROR(INDEX('EFF-E_ANTC'!$C$4:$H$47,MATCH($B20,'EFF-E_ANTC'!$A$4:$A$47,0),MATCH(I$5,'EFF-E_ANTC'!$C$3:$H$3,0)),"")</f>
        <v>6.6011283101863896E-2</v>
      </c>
      <c r="J20" s="377">
        <f>IFERROR(INDEX('EFF-E_ANTC'!$C$4:$H$47,MATCH($B20,'EFF-E_ANTC'!$A$4:$A$47,0),MATCH(J$5,'EFF-E_ANTC'!$C$3:$H$3,0)),"")</f>
        <v>6.6777008175099004E-2</v>
      </c>
      <c r="K20" s="379">
        <f>IFERROR(INDEX('AFA-E_ANTC'!$J$5:$O$48,MATCH($B20,'AFA-E_ANTC'!$A$5:$A$48,0),MATCH(K$5,'AFA-E_ANTC'!$J$3:$O$3,0)),"")</f>
        <v>0.42532283795650333</v>
      </c>
      <c r="L20" s="379">
        <f>IFERROR(INDEX('AFA-E_ANTC'!$J$5:$O$48,MATCH($B20,'AFA-E_ANTC'!$A$5:$A$48,0),MATCH(L$5,'AFA-E_ANTC'!$J$3:$O$3,0)),"")</f>
        <v>0.33706878442068333</v>
      </c>
      <c r="M20" s="379">
        <f>IFERROR(INDEX('AFA-E_ANTC'!$J$5:$O$48,MATCH($B20,'AFA-E_ANTC'!$A$5:$A$48,0),MATCH(M$5,'AFA-E_ANTC'!$J$3:$O$3,0)),"")</f>
        <v>0.15171434294469499</v>
      </c>
      <c r="N20" s="379">
        <f>IFERROR(INDEX('AFA-E_ANTC'!$J$5:$O$48,MATCH($B20,'AFA-E_ANTC'!$A$5:$A$48,0),MATCH(N$5,'AFA-E_ANTC'!$J$3:$O$3,0)),"")</f>
        <v>6.6477490540613332E-2</v>
      </c>
      <c r="O20" s="379">
        <f>IFERROR(INDEX('AFA-E_ANTC'!$J$5:$O$48,MATCH($B20,'AFA-E_ANTC'!$A$5:$A$48,0),MATCH(O$5,'AFA-E_ANTC'!$J$3:$O$3,0)),"")</f>
        <v>2.8637041139474666E-2</v>
      </c>
      <c r="P20" s="379">
        <f>IFERROR(INDEX('AFA-E_ANTC'!$P$5:$P$48,MATCH($B20,'AFA-E_ANTC'!$A$5:$A$48,0)),"")</f>
        <v>0.06</v>
      </c>
      <c r="Q20" s="381">
        <f>IFERROR(INDEX('RESID-E_ANTC'!$M$5:$T$48,MATCH($B20,'RESID-E_ANTC'!$A$5:$A$48,0),MATCH(Q$5,'RESID-E_ANTC'!$M$3:$T$3,0)),"")</f>
        <v>25.1952522652347</v>
      </c>
      <c r="R20" s="381">
        <f>IFERROR(INDEX('RESID-E_ANTC'!$M$5:$T$48,MATCH($B20,'RESID-E_ANTC'!$A$5:$A$48,0),MATCH(R$5,'RESID-E_ANTC'!$M$3:$T$3,0)),"")</f>
        <v>23.083651962362801</v>
      </c>
      <c r="S20" s="381">
        <f>IFERROR(INDEX('RESID-E_ANTC'!$M$5:$T$48,MATCH($B20,'RESID-E_ANTC'!$A$5:$A$48,0),MATCH(S$5,'RESID-E_ANTC'!$M$3:$T$3,0)),"")</f>
        <v>15.5161252325553</v>
      </c>
      <c r="T20" s="381">
        <f>IFERROR(INDEX('RESID-E_ANTC'!$M$5:$T$48,MATCH($B20,'RESID-E_ANTC'!$A$5:$A$48,0),MATCH(T$5,'RESID-E_ANTC'!$M$3:$T$3,0)),"")</f>
        <v>0</v>
      </c>
      <c r="U20" s="381">
        <f>IFERROR(INDEX('RESID-E_ANTC'!$M$5:$T$48,MATCH($B20,'RESID-E_ANTC'!$A$5:$A$48,0),MATCH(U$5,'RESID-E_ANTC'!$M$3:$T$3,0)),"")</f>
        <v>0</v>
      </c>
      <c r="V20" s="231">
        <v>3</v>
      </c>
      <c r="W20" s="231">
        <v>0</v>
      </c>
    </row>
    <row r="21" spans="2:23" x14ac:dyDescent="0.25">
      <c r="B21" s="385" t="str">
        <f>IF(ITEMS_Tech_E!D21="","",ITEMS_Tech_E!D21)</f>
        <v>TPPRCARGAS-E</v>
      </c>
      <c r="C21" s="232" t="str">
        <f>IF(ITEMS_Tech_E!E21="","",ITEMS_Tech_E!E21)</f>
        <v>Transport Passenger Car Priv.Veh. Gas-Existing</v>
      </c>
      <c r="D21" s="219" t="s">
        <v>563</v>
      </c>
      <c r="E21" s="219" t="s">
        <v>238</v>
      </c>
      <c r="F21" s="377">
        <f>IFERROR(INDEX('EFF-E_ANTC'!$C$4:$H$47,MATCH($B21,'EFF-E_ANTC'!$A$4:$A$47,0),MATCH(F$5,'EFF-E_ANTC'!$C$3:$H$3,0)),"")</f>
        <v>1.7604140792286291</v>
      </c>
      <c r="G21" s="377">
        <f>IFERROR(INDEX('EFF-E_ANTC'!$C$4:$H$47,MATCH($B21,'EFF-E_ANTC'!$A$4:$A$47,0),MATCH(G$5,'EFF-E_ANTC'!$C$3:$H$3,0)),"")</f>
        <v>1.7604140792286291</v>
      </c>
      <c r="H21" s="377">
        <f>IFERROR(INDEX('EFF-E_ANTC'!$C$4:$H$47,MATCH($B21,'EFF-E_ANTC'!$A$4:$A$47,0),MATCH(H$5,'EFF-E_ANTC'!$C$3:$H$3,0)),"")</f>
        <v>1.7604140792286291</v>
      </c>
      <c r="I21" s="377">
        <f>IFERROR(INDEX('EFF-E_ANTC'!$C$4:$H$47,MATCH($B21,'EFF-E_ANTC'!$A$4:$A$47,0),MATCH(I$5,'EFF-E_ANTC'!$C$3:$H$3,0)),"")</f>
        <v>1.7604140792286291</v>
      </c>
      <c r="J21" s="377">
        <f>IFERROR(INDEX('EFF-E_ANTC'!$C$4:$H$47,MATCH($B21,'EFF-E_ANTC'!$A$4:$A$47,0),MATCH(J$5,'EFF-E_ANTC'!$C$3:$H$3,0)),"")</f>
        <v>1.7604140792286291</v>
      </c>
      <c r="K21" s="379">
        <f>IFERROR(INDEX('AFA-E_ANTC'!$J$5:$O$48,MATCH($B21,'AFA-E_ANTC'!$A$5:$A$48,0),MATCH(K$5,'AFA-E_ANTC'!$J$3:$O$3,0)),"")</f>
        <v>0</v>
      </c>
      <c r="L21" s="379">
        <f>IFERROR(INDEX('AFA-E_ANTC'!$J$5:$O$48,MATCH($B21,'AFA-E_ANTC'!$A$5:$A$48,0),MATCH(L$5,'AFA-E_ANTC'!$J$3:$O$3,0)),"")</f>
        <v>0.87947669903928882</v>
      </c>
      <c r="M21" s="379">
        <f>IFERROR(INDEX('AFA-E_ANTC'!$J$5:$O$48,MATCH($B21,'AFA-E_ANTC'!$A$5:$A$48,0),MATCH(M$5,'AFA-E_ANTC'!$J$3:$O$3,0)),"")</f>
        <v>0.5904981435059814</v>
      </c>
      <c r="N21" s="379">
        <f>IFERROR(INDEX('AFA-E_ANTC'!$J$5:$O$48,MATCH($B21,'AFA-E_ANTC'!$A$5:$A$48,0),MATCH(N$5,'AFA-E_ANTC'!$J$3:$O$3,0)),"")</f>
        <v>0.39754382195796284</v>
      </c>
      <c r="O21" s="379">
        <f>IFERROR(INDEX('AFA-E_ANTC'!$J$5:$O$48,MATCH($B21,'AFA-E_ANTC'!$A$5:$A$48,0),MATCH(O$5,'AFA-E_ANTC'!$J$3:$O$3,0)),"")</f>
        <v>0.26840473277037419</v>
      </c>
      <c r="P21" s="379">
        <f>IFERROR(INDEX('AFA-E_ANTC'!$P$5:$P$48,MATCH($B21,'AFA-E_ANTC'!$A$5:$A$48,0)),"")</f>
        <v>2.1358407707781298E-2</v>
      </c>
      <c r="Q21" s="381">
        <f>IFERROR(INDEX('RESID-E_ANTC'!$M$5:$T$48,MATCH($B21,'RESID-E_ANTC'!$A$5:$A$48,0),MATCH(Q$5,'RESID-E_ANTC'!$M$3:$T$3,0)),"")</f>
        <v>3.3192828574538001E-2</v>
      </c>
      <c r="R21" s="381">
        <f>IFERROR(INDEX('RESID-E_ANTC'!$M$5:$T$48,MATCH($B21,'RESID-E_ANTC'!$A$5:$A$48,0),MATCH(R$5,'RESID-E_ANTC'!$M$3:$T$3,0)),"")</f>
        <v>3.3103303930313001E-2</v>
      </c>
      <c r="S21" s="381">
        <f>IFERROR(INDEX('RESID-E_ANTC'!$M$5:$T$48,MATCH($B21,'RESID-E_ANTC'!$A$5:$A$48,0),MATCH(S$5,'RESID-E_ANTC'!$M$3:$T$3,0)),"")</f>
        <v>2.9041173582530902E-2</v>
      </c>
      <c r="T21" s="381">
        <f>IFERROR(INDEX('RESID-E_ANTC'!$M$5:$T$48,MATCH($B21,'RESID-E_ANTC'!$A$5:$A$48,0),MATCH(T$5,'RESID-E_ANTC'!$M$3:$T$3,0)),"")</f>
        <v>0</v>
      </c>
      <c r="U21" s="381">
        <f>IFERROR(INDEX('RESID-E_ANTC'!$M$5:$T$48,MATCH($B21,'RESID-E_ANTC'!$A$5:$A$48,0),MATCH(U$5,'RESID-E_ANTC'!$M$3:$T$3,0)),"")</f>
        <v>0</v>
      </c>
      <c r="V21" s="231">
        <v>3</v>
      </c>
      <c r="W21" s="231">
        <v>0</v>
      </c>
    </row>
    <row r="22" spans="2:23" x14ac:dyDescent="0.25">
      <c r="B22" s="385" t="str">
        <f>IF(ITEMS_Tech_E!D22="","",ITEMS_Tech_E!D22)</f>
        <v>*</v>
      </c>
      <c r="C22" s="232" t="str">
        <f>IF(ITEMS_Tech_E!E22="","",ITEMS_Tech_E!E22)</f>
        <v/>
      </c>
      <c r="D22" s="374"/>
      <c r="E22" s="374"/>
      <c r="F22" s="377">
        <f>IFERROR(INDEX('EFF-E_ANTC'!$C$4:$H$47,MATCH($B22,'EFF-E_ANTC'!$A$4:$A$47,0),MATCH(F$5,'EFF-E_ANTC'!$C$3:$H$3,0)),"")</f>
        <v>6.4348339348895098E-2</v>
      </c>
      <c r="G22" s="377">
        <f>IFERROR(INDEX('EFF-E_ANTC'!$C$4:$H$47,MATCH($B22,'EFF-E_ANTC'!$A$4:$A$47,0),MATCH(G$5,'EFF-E_ANTC'!$C$3:$H$3,0)),"")</f>
        <v>6.4532835825940396E-2</v>
      </c>
      <c r="H22" s="377">
        <f>IFERROR(INDEX('EFF-E_ANTC'!$C$4:$H$47,MATCH($B22,'EFF-E_ANTC'!$A$4:$A$47,0),MATCH(H$5,'EFF-E_ANTC'!$C$3:$H$3,0)),"")</f>
        <v>6.5227894002483106E-2</v>
      </c>
      <c r="I22" s="377">
        <f>IFERROR(INDEX('EFF-E_ANTC'!$C$4:$H$47,MATCH($B22,'EFF-E_ANTC'!$A$4:$A$47,0),MATCH(I$5,'EFF-E_ANTC'!$C$3:$H$3,0)),"")</f>
        <v>6.6011283101863896E-2</v>
      </c>
      <c r="J22" s="377">
        <f>IFERROR(INDEX('EFF-E_ANTC'!$C$4:$H$47,MATCH($B22,'EFF-E_ANTC'!$A$4:$A$47,0),MATCH(J$5,'EFF-E_ANTC'!$C$3:$H$3,0)),"")</f>
        <v>6.6777008175099004E-2</v>
      </c>
      <c r="K22" s="379">
        <f>IFERROR(INDEX('AFA-E_ANTC'!$J$5:$O$48,MATCH($B22,'AFA-E_ANTC'!$A$5:$A$48,0),MATCH(K$5,'AFA-E_ANTC'!$J$3:$O$3,0)),"")</f>
        <v>0.42532283795650333</v>
      </c>
      <c r="L22" s="379">
        <f>IFERROR(INDEX('AFA-E_ANTC'!$J$5:$O$48,MATCH($B22,'AFA-E_ANTC'!$A$5:$A$48,0),MATCH(L$5,'AFA-E_ANTC'!$J$3:$O$3,0)),"")</f>
        <v>0.33706878442068333</v>
      </c>
      <c r="M22" s="379">
        <f>IFERROR(INDEX('AFA-E_ANTC'!$J$5:$O$48,MATCH($B22,'AFA-E_ANTC'!$A$5:$A$48,0),MATCH(M$5,'AFA-E_ANTC'!$J$3:$O$3,0)),"")</f>
        <v>0.15171434294469499</v>
      </c>
      <c r="N22" s="379">
        <f>IFERROR(INDEX('AFA-E_ANTC'!$J$5:$O$48,MATCH($B22,'AFA-E_ANTC'!$A$5:$A$48,0),MATCH(N$5,'AFA-E_ANTC'!$J$3:$O$3,0)),"")</f>
        <v>6.6477490540613332E-2</v>
      </c>
      <c r="O22" s="379">
        <f>IFERROR(INDEX('AFA-E_ANTC'!$J$5:$O$48,MATCH($B22,'AFA-E_ANTC'!$A$5:$A$48,0),MATCH(O$5,'AFA-E_ANTC'!$J$3:$O$3,0)),"")</f>
        <v>2.8637041139474666E-2</v>
      </c>
      <c r="P22" s="379">
        <f>IFERROR(INDEX('AFA-E_ANTC'!$P$5:$P$48,MATCH($B22,'AFA-E_ANTC'!$A$5:$A$48,0)),"")</f>
        <v>0.06</v>
      </c>
      <c r="Q22" s="381">
        <f>IFERROR(INDEX('RESID-E_ANTC'!$M$5:$T$48,MATCH($B22,'RESID-E_ANTC'!$A$5:$A$48,0),MATCH(Q$5,'RESID-E_ANTC'!$M$3:$T$3,0)),"")</f>
        <v>25.1952522652347</v>
      </c>
      <c r="R22" s="381">
        <f>IFERROR(INDEX('RESID-E_ANTC'!$M$5:$T$48,MATCH($B22,'RESID-E_ANTC'!$A$5:$A$48,0),MATCH(R$5,'RESID-E_ANTC'!$M$3:$T$3,0)),"")</f>
        <v>23.083651962362801</v>
      </c>
      <c r="S22" s="381">
        <f>IFERROR(INDEX('RESID-E_ANTC'!$M$5:$T$48,MATCH($B22,'RESID-E_ANTC'!$A$5:$A$48,0),MATCH(S$5,'RESID-E_ANTC'!$M$3:$T$3,0)),"")</f>
        <v>15.5161252325553</v>
      </c>
      <c r="T22" s="381">
        <f>IFERROR(INDEX('RESID-E_ANTC'!$M$5:$T$48,MATCH($B22,'RESID-E_ANTC'!$A$5:$A$48,0),MATCH(T$5,'RESID-E_ANTC'!$M$3:$T$3,0)),"")</f>
        <v>0</v>
      </c>
      <c r="U22" s="381">
        <f>IFERROR(INDEX('RESID-E_ANTC'!$M$5:$T$48,MATCH($B22,'RESID-E_ANTC'!$A$5:$A$48,0),MATCH(U$5,'RESID-E_ANTC'!$M$3:$T$3,0)),"")</f>
        <v>0</v>
      </c>
      <c r="V22" s="231"/>
      <c r="W22" s="231"/>
    </row>
    <row r="23" spans="2:23" x14ac:dyDescent="0.25">
      <c r="B23" s="385" t="str">
        <f>IF(ITEMS_Tech_E!D23="","",ITEMS_Tech_E!D23)</f>
        <v>*</v>
      </c>
      <c r="C23" s="232" t="str">
        <f>IF(ITEMS_Tech_E!E23="","",ITEMS_Tech_E!E23)</f>
        <v/>
      </c>
      <c r="D23" s="374"/>
      <c r="E23" s="374"/>
      <c r="F23" s="377">
        <f>IFERROR(INDEX('EFF-E_ANTC'!$C$4:$H$47,MATCH($B23,'EFF-E_ANTC'!$A$4:$A$47,0),MATCH(F$5,'EFF-E_ANTC'!$C$3:$H$3,0)),"")</f>
        <v>6.4348339348895098E-2</v>
      </c>
      <c r="G23" s="377">
        <f>IFERROR(INDEX('EFF-E_ANTC'!$C$4:$H$47,MATCH($B23,'EFF-E_ANTC'!$A$4:$A$47,0),MATCH(G$5,'EFF-E_ANTC'!$C$3:$H$3,0)),"")</f>
        <v>6.4532835825940396E-2</v>
      </c>
      <c r="H23" s="377">
        <f>IFERROR(INDEX('EFF-E_ANTC'!$C$4:$H$47,MATCH($B23,'EFF-E_ANTC'!$A$4:$A$47,0),MATCH(H$5,'EFF-E_ANTC'!$C$3:$H$3,0)),"")</f>
        <v>6.5227894002483106E-2</v>
      </c>
      <c r="I23" s="377">
        <f>IFERROR(INDEX('EFF-E_ANTC'!$C$4:$H$47,MATCH($B23,'EFF-E_ANTC'!$A$4:$A$47,0),MATCH(I$5,'EFF-E_ANTC'!$C$3:$H$3,0)),"")</f>
        <v>6.6011283101863896E-2</v>
      </c>
      <c r="J23" s="377">
        <f>IFERROR(INDEX('EFF-E_ANTC'!$C$4:$H$47,MATCH($B23,'EFF-E_ANTC'!$A$4:$A$47,0),MATCH(J$5,'EFF-E_ANTC'!$C$3:$H$3,0)),"")</f>
        <v>6.6777008175099004E-2</v>
      </c>
      <c r="K23" s="379">
        <f>IFERROR(INDEX('AFA-E_ANTC'!$J$5:$O$48,MATCH($B23,'AFA-E_ANTC'!$A$5:$A$48,0),MATCH(K$5,'AFA-E_ANTC'!$J$3:$O$3,0)),"")</f>
        <v>0.42532283795650333</v>
      </c>
      <c r="L23" s="379">
        <f>IFERROR(INDEX('AFA-E_ANTC'!$J$5:$O$48,MATCH($B23,'AFA-E_ANTC'!$A$5:$A$48,0),MATCH(L$5,'AFA-E_ANTC'!$J$3:$O$3,0)),"")</f>
        <v>0.33706878442068333</v>
      </c>
      <c r="M23" s="379">
        <f>IFERROR(INDEX('AFA-E_ANTC'!$J$5:$O$48,MATCH($B23,'AFA-E_ANTC'!$A$5:$A$48,0),MATCH(M$5,'AFA-E_ANTC'!$J$3:$O$3,0)),"")</f>
        <v>0.15171434294469499</v>
      </c>
      <c r="N23" s="379">
        <f>IFERROR(INDEX('AFA-E_ANTC'!$J$5:$O$48,MATCH($B23,'AFA-E_ANTC'!$A$5:$A$48,0),MATCH(N$5,'AFA-E_ANTC'!$J$3:$O$3,0)),"")</f>
        <v>6.6477490540613332E-2</v>
      </c>
      <c r="O23" s="379">
        <f>IFERROR(INDEX('AFA-E_ANTC'!$J$5:$O$48,MATCH($B23,'AFA-E_ANTC'!$A$5:$A$48,0),MATCH(O$5,'AFA-E_ANTC'!$J$3:$O$3,0)),"")</f>
        <v>2.8637041139474666E-2</v>
      </c>
      <c r="P23" s="379">
        <f>IFERROR(INDEX('AFA-E_ANTC'!$P$5:$P$48,MATCH($B23,'AFA-E_ANTC'!$A$5:$A$48,0)),"")</f>
        <v>0.06</v>
      </c>
      <c r="Q23" s="381">
        <f>IFERROR(INDEX('RESID-E_ANTC'!$M$5:$T$48,MATCH($B23,'RESID-E_ANTC'!$A$5:$A$48,0),MATCH(Q$5,'RESID-E_ANTC'!$M$3:$T$3,0)),"")</f>
        <v>25.1952522652347</v>
      </c>
      <c r="R23" s="381">
        <f>IFERROR(INDEX('RESID-E_ANTC'!$M$5:$T$48,MATCH($B23,'RESID-E_ANTC'!$A$5:$A$48,0),MATCH(R$5,'RESID-E_ANTC'!$M$3:$T$3,0)),"")</f>
        <v>23.083651962362801</v>
      </c>
      <c r="S23" s="381">
        <f>IFERROR(INDEX('RESID-E_ANTC'!$M$5:$T$48,MATCH($B23,'RESID-E_ANTC'!$A$5:$A$48,0),MATCH(S$5,'RESID-E_ANTC'!$M$3:$T$3,0)),"")</f>
        <v>15.5161252325553</v>
      </c>
      <c r="T23" s="381">
        <f>IFERROR(INDEX('RESID-E_ANTC'!$M$5:$T$48,MATCH($B23,'RESID-E_ANTC'!$A$5:$A$48,0),MATCH(T$5,'RESID-E_ANTC'!$M$3:$T$3,0)),"")</f>
        <v>0</v>
      </c>
      <c r="U23" s="381">
        <f>IFERROR(INDEX('RESID-E_ANTC'!$M$5:$T$48,MATCH($B23,'RESID-E_ANTC'!$A$5:$A$48,0),MATCH(U$5,'RESID-E_ANTC'!$M$3:$T$3,0)),"")</f>
        <v>0</v>
      </c>
      <c r="V23" s="231"/>
      <c r="W23" s="231"/>
    </row>
    <row r="24" spans="2:23" x14ac:dyDescent="0.25">
      <c r="B24" s="385" t="str">
        <f>IF(ITEMS_Tech_E!D24="","",ITEMS_Tech_E!D24)</f>
        <v>*</v>
      </c>
      <c r="C24" s="232" t="str">
        <f>IF(ITEMS_Tech_E!E24="","",ITEMS_Tech_E!E24)</f>
        <v>Private Motorcycles</v>
      </c>
      <c r="D24" s="374"/>
      <c r="E24" s="374"/>
      <c r="F24" s="377">
        <f>IFERROR(INDEX('EFF-E_ANTC'!$C$4:$H$47,MATCH($B24,'EFF-E_ANTC'!$A$4:$A$47,0),MATCH(F$5,'EFF-E_ANTC'!$C$3:$H$3,0)),"")</f>
        <v>6.4348339348895098E-2</v>
      </c>
      <c r="G24" s="377">
        <f>IFERROR(INDEX('EFF-E_ANTC'!$C$4:$H$47,MATCH($B24,'EFF-E_ANTC'!$A$4:$A$47,0),MATCH(G$5,'EFF-E_ANTC'!$C$3:$H$3,0)),"")</f>
        <v>6.4532835825940396E-2</v>
      </c>
      <c r="H24" s="377">
        <f>IFERROR(INDEX('EFF-E_ANTC'!$C$4:$H$47,MATCH($B24,'EFF-E_ANTC'!$A$4:$A$47,0),MATCH(H$5,'EFF-E_ANTC'!$C$3:$H$3,0)),"")</f>
        <v>6.5227894002483106E-2</v>
      </c>
      <c r="I24" s="377">
        <f>IFERROR(INDEX('EFF-E_ANTC'!$C$4:$H$47,MATCH($B24,'EFF-E_ANTC'!$A$4:$A$47,0),MATCH(I$5,'EFF-E_ANTC'!$C$3:$H$3,0)),"")</f>
        <v>6.6011283101863896E-2</v>
      </c>
      <c r="J24" s="377">
        <f>IFERROR(INDEX('EFF-E_ANTC'!$C$4:$H$47,MATCH($B24,'EFF-E_ANTC'!$A$4:$A$47,0),MATCH(J$5,'EFF-E_ANTC'!$C$3:$H$3,0)),"")</f>
        <v>6.6777008175099004E-2</v>
      </c>
      <c r="K24" s="379">
        <f>IFERROR(INDEX('AFA-E_ANTC'!$J$5:$O$48,MATCH($B24,'AFA-E_ANTC'!$A$5:$A$48,0),MATCH(K$5,'AFA-E_ANTC'!$J$3:$O$3,0)),"")</f>
        <v>0.42532283795650333</v>
      </c>
      <c r="L24" s="379">
        <f>IFERROR(INDEX('AFA-E_ANTC'!$J$5:$O$48,MATCH($B24,'AFA-E_ANTC'!$A$5:$A$48,0),MATCH(L$5,'AFA-E_ANTC'!$J$3:$O$3,0)),"")</f>
        <v>0.33706878442068333</v>
      </c>
      <c r="M24" s="379">
        <f>IFERROR(INDEX('AFA-E_ANTC'!$J$5:$O$48,MATCH($B24,'AFA-E_ANTC'!$A$5:$A$48,0),MATCH(M$5,'AFA-E_ANTC'!$J$3:$O$3,0)),"")</f>
        <v>0.15171434294469499</v>
      </c>
      <c r="N24" s="379">
        <f>IFERROR(INDEX('AFA-E_ANTC'!$J$5:$O$48,MATCH($B24,'AFA-E_ANTC'!$A$5:$A$48,0),MATCH(N$5,'AFA-E_ANTC'!$J$3:$O$3,0)),"")</f>
        <v>6.6477490540613332E-2</v>
      </c>
      <c r="O24" s="379">
        <f>IFERROR(INDEX('AFA-E_ANTC'!$J$5:$O$48,MATCH($B24,'AFA-E_ANTC'!$A$5:$A$48,0),MATCH(O$5,'AFA-E_ANTC'!$J$3:$O$3,0)),"")</f>
        <v>2.8637041139474666E-2</v>
      </c>
      <c r="P24" s="379">
        <f>IFERROR(INDEX('AFA-E_ANTC'!$P$5:$P$48,MATCH($B24,'AFA-E_ANTC'!$A$5:$A$48,0)),"")</f>
        <v>0.06</v>
      </c>
      <c r="Q24" s="381">
        <f>IFERROR(INDEX('RESID-E_ANTC'!$M$5:$T$48,MATCH($B24,'RESID-E_ANTC'!$A$5:$A$48,0),MATCH(Q$5,'RESID-E_ANTC'!$M$3:$T$3,0)),"")</f>
        <v>25.1952522652347</v>
      </c>
      <c r="R24" s="381">
        <f>IFERROR(INDEX('RESID-E_ANTC'!$M$5:$T$48,MATCH($B24,'RESID-E_ANTC'!$A$5:$A$48,0),MATCH(R$5,'RESID-E_ANTC'!$M$3:$T$3,0)),"")</f>
        <v>23.083651962362801</v>
      </c>
      <c r="S24" s="381">
        <f>IFERROR(INDEX('RESID-E_ANTC'!$M$5:$T$48,MATCH($B24,'RESID-E_ANTC'!$A$5:$A$48,0),MATCH(S$5,'RESID-E_ANTC'!$M$3:$T$3,0)),"")</f>
        <v>15.5161252325553</v>
      </c>
      <c r="T24" s="381">
        <f>IFERROR(INDEX('RESID-E_ANTC'!$M$5:$T$48,MATCH($B24,'RESID-E_ANTC'!$A$5:$A$48,0),MATCH(T$5,'RESID-E_ANTC'!$M$3:$T$3,0)),"")</f>
        <v>0</v>
      </c>
      <c r="U24" s="381">
        <f>IFERROR(INDEX('RESID-E_ANTC'!$M$5:$T$48,MATCH($B24,'RESID-E_ANTC'!$A$5:$A$48,0),MATCH(U$5,'RESID-E_ANTC'!$M$3:$T$3,0)),"")</f>
        <v>0</v>
      </c>
      <c r="V24" s="231"/>
      <c r="W24" s="231"/>
    </row>
    <row r="25" spans="2:23" x14ac:dyDescent="0.25">
      <c r="B25" s="385" t="str">
        <f>IF(ITEMS_Tech_E!D25="","",ITEMS_Tech_E!D25)</f>
        <v>TPPRMOTOGS-E</v>
      </c>
      <c r="C25" s="232" t="str">
        <f>IF(ITEMS_Tech_E!E25="","",ITEMS_Tech_E!E25)</f>
        <v>Transport Passenger Moto Priv.Veh. Oil Gasoline-Existing</v>
      </c>
      <c r="D25" s="219" t="s">
        <v>413</v>
      </c>
      <c r="E25" s="219" t="s">
        <v>289</v>
      </c>
      <c r="F25" s="377">
        <f>IFERROR(INDEX('EFF-E_ANTC'!$C$4:$H$47,MATCH($B25,'EFF-E_ANTC'!$A$4:$A$47,0),MATCH(F$5,'EFF-E_ANTC'!$C$3:$H$3,0)),"")</f>
        <v>0.58484684820594601</v>
      </c>
      <c r="G25" s="377">
        <f>IFERROR(INDEX('EFF-E_ANTC'!$C$4:$H$47,MATCH($B25,'EFF-E_ANTC'!$A$4:$A$47,0),MATCH(G$5,'EFF-E_ANTC'!$C$3:$H$3,0)),"")</f>
        <v>0.58792203407525001</v>
      </c>
      <c r="H25" s="377">
        <f>IFERROR(INDEX('EFF-E_ANTC'!$C$4:$H$47,MATCH($B25,'EFF-E_ANTC'!$A$4:$A$47,0),MATCH(H$5,'EFF-E_ANTC'!$C$3:$H$3,0)),"")</f>
        <v>0.59899195036072195</v>
      </c>
      <c r="I25" s="377">
        <f>IFERROR(INDEX('EFF-E_ANTC'!$C$4:$H$47,MATCH($B25,'EFF-E_ANTC'!$A$4:$A$47,0),MATCH(I$5,'EFF-E_ANTC'!$C$3:$H$3,0)),"")</f>
        <v>0.60882557636547696</v>
      </c>
      <c r="J25" s="377">
        <f>IFERROR(INDEX('EFF-E_ANTC'!$C$4:$H$47,MATCH($B25,'EFF-E_ANTC'!$A$4:$A$47,0),MATCH(J$5,'EFF-E_ANTC'!$C$3:$H$3,0)),"")</f>
        <v>0.61566719645728296</v>
      </c>
      <c r="K25" s="379">
        <f>IFERROR(INDEX('AFA-E_ANTC'!$J$5:$O$48,MATCH($B25,'AFA-E_ANTC'!$A$5:$A$48,0),MATCH(K$5,'AFA-E_ANTC'!$J$3:$O$3,0)),"")</f>
        <v>0.7411302039843134</v>
      </c>
      <c r="L25" s="379">
        <f>IFERROR(INDEX('AFA-E_ANTC'!$J$5:$O$48,MATCH($B25,'AFA-E_ANTC'!$A$5:$A$48,0),MATCH(L$5,'AFA-E_ANTC'!$J$3:$O$3,0)),"")</f>
        <v>0.67310395943547341</v>
      </c>
      <c r="M25" s="379">
        <f>IFERROR(INDEX('AFA-E_ANTC'!$J$5:$O$48,MATCH($B25,'AFA-E_ANTC'!$A$5:$A$48,0),MATCH(M$5,'AFA-E_ANTC'!$J$3:$O$3,0)),"")</f>
        <v>0.48967847643882134</v>
      </c>
      <c r="N25" s="379">
        <f>IFERROR(INDEX('AFA-E_ANTC'!$J$5:$O$48,MATCH($B25,'AFA-E_ANTC'!$A$5:$A$48,0),MATCH(N$5,'AFA-E_ANTC'!$J$3:$O$3,0)),"")</f>
        <v>0.35215966369753199</v>
      </c>
      <c r="O25" s="379">
        <f>IFERROR(INDEX('AFA-E_ANTC'!$J$5:$O$48,MATCH($B25,'AFA-E_ANTC'!$A$5:$A$48,0),MATCH(O$5,'AFA-E_ANTC'!$J$3:$O$3,0)),"")</f>
        <v>0.247618657994434</v>
      </c>
      <c r="P25" s="379">
        <f>IFERROR(INDEX('AFA-E_ANTC'!$P$5:$P$48,MATCH($B25,'AFA-E_ANTC'!$A$5:$A$48,0)),"")</f>
        <v>1.4999999999999999E-2</v>
      </c>
      <c r="Q25" s="381">
        <f>IFERROR(INDEX('RESID-E_ANTC'!$M$5:$T$48,MATCH($B25,'RESID-E_ANTC'!$A$5:$A$48,0),MATCH(Q$5,'RESID-E_ANTC'!$M$3:$T$3,0)),"")</f>
        <v>532.77109028187397</v>
      </c>
      <c r="R25" s="381">
        <f>IFERROR(INDEX('RESID-E_ANTC'!$M$5:$T$48,MATCH($B25,'RESID-E_ANTC'!$A$5:$A$48,0),MATCH(R$5,'RESID-E_ANTC'!$M$3:$T$3,0)),"")</f>
        <v>480.39595774755702</v>
      </c>
      <c r="S25" s="381">
        <f>IFERROR(INDEX('RESID-E_ANTC'!$M$5:$T$48,MATCH($B25,'RESID-E_ANTC'!$A$5:$A$48,0),MATCH(S$5,'RESID-E_ANTC'!$M$3:$T$3,0)),"")</f>
        <v>247.18185019438701</v>
      </c>
      <c r="T25" s="381">
        <f>IFERROR(INDEX('RESID-E_ANTC'!$M$5:$T$48,MATCH($B25,'RESID-E_ANTC'!$A$5:$A$48,0),MATCH(T$5,'RESID-E_ANTC'!$M$3:$T$3,0)),"")</f>
        <v>0</v>
      </c>
      <c r="U25" s="381">
        <f>IFERROR(INDEX('RESID-E_ANTC'!$M$5:$T$48,MATCH($B25,'RESID-E_ANTC'!$A$5:$A$48,0),MATCH(U$5,'RESID-E_ANTC'!$M$3:$T$3,0)),"")</f>
        <v>0</v>
      </c>
      <c r="V25" s="231">
        <v>3</v>
      </c>
      <c r="W25" s="231">
        <v>0</v>
      </c>
    </row>
    <row r="26" spans="2:23" x14ac:dyDescent="0.25">
      <c r="B26" s="385" t="str">
        <f>IF(ITEMS_Tech_E!D26="","",ITEMS_Tech_E!D26)</f>
        <v>*</v>
      </c>
      <c r="C26" s="232" t="str">
        <f>IF(ITEMS_Tech_E!E26="","",ITEMS_Tech_E!E26)</f>
        <v/>
      </c>
      <c r="D26" s="374"/>
      <c r="E26" s="374"/>
      <c r="F26" s="377">
        <f>IFERROR(INDEX('EFF-E_ANTC'!$C$4:$H$47,MATCH($B26,'EFF-E_ANTC'!$A$4:$A$47,0),MATCH(F$5,'EFF-E_ANTC'!$C$3:$H$3,0)),"")</f>
        <v>6.4348339348895098E-2</v>
      </c>
      <c r="G26" s="377">
        <f>IFERROR(INDEX('EFF-E_ANTC'!$C$4:$H$47,MATCH($B26,'EFF-E_ANTC'!$A$4:$A$47,0),MATCH(G$5,'EFF-E_ANTC'!$C$3:$H$3,0)),"")</f>
        <v>6.4532835825940396E-2</v>
      </c>
      <c r="H26" s="377">
        <f>IFERROR(INDEX('EFF-E_ANTC'!$C$4:$H$47,MATCH($B26,'EFF-E_ANTC'!$A$4:$A$47,0),MATCH(H$5,'EFF-E_ANTC'!$C$3:$H$3,0)),"")</f>
        <v>6.5227894002483106E-2</v>
      </c>
      <c r="I26" s="377">
        <f>IFERROR(INDEX('EFF-E_ANTC'!$C$4:$H$47,MATCH($B26,'EFF-E_ANTC'!$A$4:$A$47,0),MATCH(I$5,'EFF-E_ANTC'!$C$3:$H$3,0)),"")</f>
        <v>6.6011283101863896E-2</v>
      </c>
      <c r="J26" s="377">
        <f>IFERROR(INDEX('EFF-E_ANTC'!$C$4:$H$47,MATCH($B26,'EFF-E_ANTC'!$A$4:$A$47,0),MATCH(J$5,'EFF-E_ANTC'!$C$3:$H$3,0)),"")</f>
        <v>6.6777008175099004E-2</v>
      </c>
      <c r="K26" s="379">
        <f>IFERROR(INDEX('AFA-E_ANTC'!$J$5:$O$48,MATCH($B26,'AFA-E_ANTC'!$A$5:$A$48,0),MATCH(K$5,'AFA-E_ANTC'!$J$3:$O$3,0)),"")</f>
        <v>0.42532283795650333</v>
      </c>
      <c r="L26" s="379">
        <f>IFERROR(INDEX('AFA-E_ANTC'!$J$5:$O$48,MATCH($B26,'AFA-E_ANTC'!$A$5:$A$48,0),MATCH(L$5,'AFA-E_ANTC'!$J$3:$O$3,0)),"")</f>
        <v>0.33706878442068333</v>
      </c>
      <c r="M26" s="379">
        <f>IFERROR(INDEX('AFA-E_ANTC'!$J$5:$O$48,MATCH($B26,'AFA-E_ANTC'!$A$5:$A$48,0),MATCH(M$5,'AFA-E_ANTC'!$J$3:$O$3,0)),"")</f>
        <v>0.15171434294469499</v>
      </c>
      <c r="N26" s="379">
        <f>IFERROR(INDEX('AFA-E_ANTC'!$J$5:$O$48,MATCH($B26,'AFA-E_ANTC'!$A$5:$A$48,0),MATCH(N$5,'AFA-E_ANTC'!$J$3:$O$3,0)),"")</f>
        <v>6.6477490540613332E-2</v>
      </c>
      <c r="O26" s="379">
        <f>IFERROR(INDEX('AFA-E_ANTC'!$J$5:$O$48,MATCH($B26,'AFA-E_ANTC'!$A$5:$A$48,0),MATCH(O$5,'AFA-E_ANTC'!$J$3:$O$3,0)),"")</f>
        <v>2.8637041139474666E-2</v>
      </c>
      <c r="P26" s="379">
        <f>IFERROR(INDEX('AFA-E_ANTC'!$P$5:$P$48,MATCH($B26,'AFA-E_ANTC'!$A$5:$A$48,0)),"")</f>
        <v>0.06</v>
      </c>
      <c r="Q26" s="381">
        <f>IFERROR(INDEX('RESID-E_ANTC'!$M$5:$T$48,MATCH($B26,'RESID-E_ANTC'!$A$5:$A$48,0),MATCH(Q$5,'RESID-E_ANTC'!$M$3:$T$3,0)),"")</f>
        <v>25.1952522652347</v>
      </c>
      <c r="R26" s="381">
        <f>IFERROR(INDEX('RESID-E_ANTC'!$M$5:$T$48,MATCH($B26,'RESID-E_ANTC'!$A$5:$A$48,0),MATCH(R$5,'RESID-E_ANTC'!$M$3:$T$3,0)),"")</f>
        <v>23.083651962362801</v>
      </c>
      <c r="S26" s="381">
        <f>IFERROR(INDEX('RESID-E_ANTC'!$M$5:$T$48,MATCH($B26,'RESID-E_ANTC'!$A$5:$A$48,0),MATCH(S$5,'RESID-E_ANTC'!$M$3:$T$3,0)),"")</f>
        <v>15.5161252325553</v>
      </c>
      <c r="T26" s="381">
        <f>IFERROR(INDEX('RESID-E_ANTC'!$M$5:$T$48,MATCH($B26,'RESID-E_ANTC'!$A$5:$A$48,0),MATCH(T$5,'RESID-E_ANTC'!$M$3:$T$3,0)),"")</f>
        <v>0</v>
      </c>
      <c r="U26" s="381">
        <f>IFERROR(INDEX('RESID-E_ANTC'!$M$5:$T$48,MATCH($B26,'RESID-E_ANTC'!$A$5:$A$48,0),MATCH(U$5,'RESID-E_ANTC'!$M$3:$T$3,0)),"")</f>
        <v>0</v>
      </c>
      <c r="V26" s="231"/>
      <c r="W26" s="231"/>
    </row>
    <row r="27" spans="2:23" x14ac:dyDescent="0.25">
      <c r="B27" s="385" t="str">
        <f>IF(ITEMS_Tech_E!D27="","",ITEMS_Tech_E!D27)</f>
        <v>*</v>
      </c>
      <c r="C27" s="232" t="str">
        <f>IF(ITEMS_Tech_E!E27="","",ITEMS_Tech_E!E27)</f>
        <v/>
      </c>
      <c r="D27" s="374"/>
      <c r="E27" s="374"/>
      <c r="F27" s="377">
        <f>IFERROR(INDEX('EFF-E_ANTC'!$C$4:$H$47,MATCH($B27,'EFF-E_ANTC'!$A$4:$A$47,0),MATCH(F$5,'EFF-E_ANTC'!$C$3:$H$3,0)),"")</f>
        <v>6.4348339348895098E-2</v>
      </c>
      <c r="G27" s="377">
        <f>IFERROR(INDEX('EFF-E_ANTC'!$C$4:$H$47,MATCH($B27,'EFF-E_ANTC'!$A$4:$A$47,0),MATCH(G$5,'EFF-E_ANTC'!$C$3:$H$3,0)),"")</f>
        <v>6.4532835825940396E-2</v>
      </c>
      <c r="H27" s="377">
        <f>IFERROR(INDEX('EFF-E_ANTC'!$C$4:$H$47,MATCH($B27,'EFF-E_ANTC'!$A$4:$A$47,0),MATCH(H$5,'EFF-E_ANTC'!$C$3:$H$3,0)),"")</f>
        <v>6.5227894002483106E-2</v>
      </c>
      <c r="I27" s="377">
        <f>IFERROR(INDEX('EFF-E_ANTC'!$C$4:$H$47,MATCH($B27,'EFF-E_ANTC'!$A$4:$A$47,0),MATCH(I$5,'EFF-E_ANTC'!$C$3:$H$3,0)),"")</f>
        <v>6.6011283101863896E-2</v>
      </c>
      <c r="J27" s="377">
        <f>IFERROR(INDEX('EFF-E_ANTC'!$C$4:$H$47,MATCH($B27,'EFF-E_ANTC'!$A$4:$A$47,0),MATCH(J$5,'EFF-E_ANTC'!$C$3:$H$3,0)),"")</f>
        <v>6.6777008175099004E-2</v>
      </c>
      <c r="K27" s="379">
        <f>IFERROR(INDEX('AFA-E_ANTC'!$J$5:$O$48,MATCH($B27,'AFA-E_ANTC'!$A$5:$A$48,0),MATCH(K$5,'AFA-E_ANTC'!$J$3:$O$3,0)),"")</f>
        <v>0.42532283795650333</v>
      </c>
      <c r="L27" s="379">
        <f>IFERROR(INDEX('AFA-E_ANTC'!$J$5:$O$48,MATCH($B27,'AFA-E_ANTC'!$A$5:$A$48,0),MATCH(L$5,'AFA-E_ANTC'!$J$3:$O$3,0)),"")</f>
        <v>0.33706878442068333</v>
      </c>
      <c r="M27" s="379">
        <f>IFERROR(INDEX('AFA-E_ANTC'!$J$5:$O$48,MATCH($B27,'AFA-E_ANTC'!$A$5:$A$48,0),MATCH(M$5,'AFA-E_ANTC'!$J$3:$O$3,0)),"")</f>
        <v>0.15171434294469499</v>
      </c>
      <c r="N27" s="379">
        <f>IFERROR(INDEX('AFA-E_ANTC'!$J$5:$O$48,MATCH($B27,'AFA-E_ANTC'!$A$5:$A$48,0),MATCH(N$5,'AFA-E_ANTC'!$J$3:$O$3,0)),"")</f>
        <v>6.6477490540613332E-2</v>
      </c>
      <c r="O27" s="379">
        <f>IFERROR(INDEX('AFA-E_ANTC'!$J$5:$O$48,MATCH($B27,'AFA-E_ANTC'!$A$5:$A$48,0),MATCH(O$5,'AFA-E_ANTC'!$J$3:$O$3,0)),"")</f>
        <v>2.8637041139474666E-2</v>
      </c>
      <c r="P27" s="379">
        <f>IFERROR(INDEX('AFA-E_ANTC'!$P$5:$P$48,MATCH($B27,'AFA-E_ANTC'!$A$5:$A$48,0)),"")</f>
        <v>0.06</v>
      </c>
      <c r="Q27" s="381">
        <f>IFERROR(INDEX('RESID-E_ANTC'!$M$5:$T$48,MATCH($B27,'RESID-E_ANTC'!$A$5:$A$48,0),MATCH(Q$5,'RESID-E_ANTC'!$M$3:$T$3,0)),"")</f>
        <v>25.1952522652347</v>
      </c>
      <c r="R27" s="381">
        <f>IFERROR(INDEX('RESID-E_ANTC'!$M$5:$T$48,MATCH($B27,'RESID-E_ANTC'!$A$5:$A$48,0),MATCH(R$5,'RESID-E_ANTC'!$M$3:$T$3,0)),"")</f>
        <v>23.083651962362801</v>
      </c>
      <c r="S27" s="381">
        <f>IFERROR(INDEX('RESID-E_ANTC'!$M$5:$T$48,MATCH($B27,'RESID-E_ANTC'!$A$5:$A$48,0),MATCH(S$5,'RESID-E_ANTC'!$M$3:$T$3,0)),"")</f>
        <v>15.5161252325553</v>
      </c>
      <c r="T27" s="381">
        <f>IFERROR(INDEX('RESID-E_ANTC'!$M$5:$T$48,MATCH($B27,'RESID-E_ANTC'!$A$5:$A$48,0),MATCH(T$5,'RESID-E_ANTC'!$M$3:$T$3,0)),"")</f>
        <v>0</v>
      </c>
      <c r="U27" s="381">
        <f>IFERROR(INDEX('RESID-E_ANTC'!$M$5:$T$48,MATCH($B27,'RESID-E_ANTC'!$A$5:$A$48,0),MATCH(U$5,'RESID-E_ANTC'!$M$3:$T$3,0)),"")</f>
        <v>0</v>
      </c>
      <c r="V27" s="231"/>
      <c r="W27" s="231"/>
    </row>
    <row r="28" spans="2:23" x14ac:dyDescent="0.25">
      <c r="B28" s="385" t="str">
        <f>IF(ITEMS_Tech_E!D28="","",ITEMS_Tech_E!D28)</f>
        <v>*</v>
      </c>
      <c r="C28" s="232" t="str">
        <f>IF(ITEMS_Tech_E!E28="","",ITEMS_Tech_E!E28)</f>
        <v>Public Buses</v>
      </c>
      <c r="D28" s="374"/>
      <c r="E28" s="374"/>
      <c r="F28" s="377">
        <f>IFERROR(INDEX('EFF-E_ANTC'!$C$4:$H$47,MATCH($B28,'EFF-E_ANTC'!$A$4:$A$47,0),MATCH(F$5,'EFF-E_ANTC'!$C$3:$H$3,0)),"")</f>
        <v>6.4348339348895098E-2</v>
      </c>
      <c r="G28" s="377">
        <f>IFERROR(INDEX('EFF-E_ANTC'!$C$4:$H$47,MATCH($B28,'EFF-E_ANTC'!$A$4:$A$47,0),MATCH(G$5,'EFF-E_ANTC'!$C$3:$H$3,0)),"")</f>
        <v>6.4532835825940396E-2</v>
      </c>
      <c r="H28" s="377">
        <f>IFERROR(INDEX('EFF-E_ANTC'!$C$4:$H$47,MATCH($B28,'EFF-E_ANTC'!$A$4:$A$47,0),MATCH(H$5,'EFF-E_ANTC'!$C$3:$H$3,0)),"")</f>
        <v>6.5227894002483106E-2</v>
      </c>
      <c r="I28" s="377">
        <f>IFERROR(INDEX('EFF-E_ANTC'!$C$4:$H$47,MATCH($B28,'EFF-E_ANTC'!$A$4:$A$47,0),MATCH(I$5,'EFF-E_ANTC'!$C$3:$H$3,0)),"")</f>
        <v>6.6011283101863896E-2</v>
      </c>
      <c r="J28" s="377">
        <f>IFERROR(INDEX('EFF-E_ANTC'!$C$4:$H$47,MATCH($B28,'EFF-E_ANTC'!$A$4:$A$47,0),MATCH(J$5,'EFF-E_ANTC'!$C$3:$H$3,0)),"")</f>
        <v>6.6777008175099004E-2</v>
      </c>
      <c r="K28" s="379">
        <f>IFERROR(INDEX('AFA-E_ANTC'!$J$5:$O$48,MATCH($B28,'AFA-E_ANTC'!$A$5:$A$48,0),MATCH(K$5,'AFA-E_ANTC'!$J$3:$O$3,0)),"")</f>
        <v>0.42532283795650333</v>
      </c>
      <c r="L28" s="379">
        <f>IFERROR(INDEX('AFA-E_ANTC'!$J$5:$O$48,MATCH($B28,'AFA-E_ANTC'!$A$5:$A$48,0),MATCH(L$5,'AFA-E_ANTC'!$J$3:$O$3,0)),"")</f>
        <v>0.33706878442068333</v>
      </c>
      <c r="M28" s="379">
        <f>IFERROR(INDEX('AFA-E_ANTC'!$J$5:$O$48,MATCH($B28,'AFA-E_ANTC'!$A$5:$A$48,0),MATCH(M$5,'AFA-E_ANTC'!$J$3:$O$3,0)),"")</f>
        <v>0.15171434294469499</v>
      </c>
      <c r="N28" s="379">
        <f>IFERROR(INDEX('AFA-E_ANTC'!$J$5:$O$48,MATCH($B28,'AFA-E_ANTC'!$A$5:$A$48,0),MATCH(N$5,'AFA-E_ANTC'!$J$3:$O$3,0)),"")</f>
        <v>6.6477490540613332E-2</v>
      </c>
      <c r="O28" s="379">
        <f>IFERROR(INDEX('AFA-E_ANTC'!$J$5:$O$48,MATCH($B28,'AFA-E_ANTC'!$A$5:$A$48,0),MATCH(O$5,'AFA-E_ANTC'!$J$3:$O$3,0)),"")</f>
        <v>2.8637041139474666E-2</v>
      </c>
      <c r="P28" s="379">
        <f>IFERROR(INDEX('AFA-E_ANTC'!$P$5:$P$48,MATCH($B28,'AFA-E_ANTC'!$A$5:$A$48,0)),"")</f>
        <v>0.06</v>
      </c>
      <c r="Q28" s="381">
        <f>IFERROR(INDEX('RESID-E_ANTC'!$M$5:$T$48,MATCH($B28,'RESID-E_ANTC'!$A$5:$A$48,0),MATCH(Q$5,'RESID-E_ANTC'!$M$3:$T$3,0)),"")</f>
        <v>25.1952522652347</v>
      </c>
      <c r="R28" s="381">
        <f>IFERROR(INDEX('RESID-E_ANTC'!$M$5:$T$48,MATCH($B28,'RESID-E_ANTC'!$A$5:$A$48,0),MATCH(R$5,'RESID-E_ANTC'!$M$3:$T$3,0)),"")</f>
        <v>23.083651962362801</v>
      </c>
      <c r="S28" s="381">
        <f>IFERROR(INDEX('RESID-E_ANTC'!$M$5:$T$48,MATCH($B28,'RESID-E_ANTC'!$A$5:$A$48,0),MATCH(S$5,'RESID-E_ANTC'!$M$3:$T$3,0)),"")</f>
        <v>15.5161252325553</v>
      </c>
      <c r="T28" s="381">
        <f>IFERROR(INDEX('RESID-E_ANTC'!$M$5:$T$48,MATCH($B28,'RESID-E_ANTC'!$A$5:$A$48,0),MATCH(T$5,'RESID-E_ANTC'!$M$3:$T$3,0)),"")</f>
        <v>0</v>
      </c>
      <c r="U28" s="381">
        <f>IFERROR(INDEX('RESID-E_ANTC'!$M$5:$T$48,MATCH($B28,'RESID-E_ANTC'!$A$5:$A$48,0),MATCH(U$5,'RESID-E_ANTC'!$M$3:$T$3,0)),"")</f>
        <v>0</v>
      </c>
      <c r="V28" s="231"/>
      <c r="W28" s="231"/>
    </row>
    <row r="29" spans="2:23" x14ac:dyDescent="0.25">
      <c r="B29" s="385" t="str">
        <f>IF(ITEMS_Tech_E!D29="","",ITEMS_Tech_E!D29)</f>
        <v>TPPUBUSODS-E</v>
      </c>
      <c r="C29" s="232" t="str">
        <f>IF(ITEMS_Tech_E!E29="","",ITEMS_Tech_E!E29)</f>
        <v>Transport Passenger Bus Oil Diesel-Existing</v>
      </c>
      <c r="D29" s="219" t="s">
        <v>411</v>
      </c>
      <c r="E29" s="219" t="s">
        <v>235</v>
      </c>
      <c r="F29" s="377">
        <f>IFERROR(INDEX('EFF-E_ANTC'!$C$4:$H$47,MATCH($B29,'EFF-E_ANTC'!$A$4:$A$47,0),MATCH(F$5,'EFF-E_ANTC'!$C$3:$H$3,0)),"")</f>
        <v>6.4348339348895098E-2</v>
      </c>
      <c r="G29" s="377">
        <f>IFERROR(INDEX('EFF-E_ANTC'!$C$4:$H$47,MATCH($B29,'EFF-E_ANTC'!$A$4:$A$47,0),MATCH(G$5,'EFF-E_ANTC'!$C$3:$H$3,0)),"")</f>
        <v>6.4532835825940396E-2</v>
      </c>
      <c r="H29" s="377">
        <f>IFERROR(INDEX('EFF-E_ANTC'!$C$4:$H$47,MATCH($B29,'EFF-E_ANTC'!$A$4:$A$47,0),MATCH(H$5,'EFF-E_ANTC'!$C$3:$H$3,0)),"")</f>
        <v>6.5227894002483106E-2</v>
      </c>
      <c r="I29" s="377">
        <f>IFERROR(INDEX('EFF-E_ANTC'!$C$4:$H$47,MATCH($B29,'EFF-E_ANTC'!$A$4:$A$47,0),MATCH(I$5,'EFF-E_ANTC'!$C$3:$H$3,0)),"")</f>
        <v>6.6011283101863896E-2</v>
      </c>
      <c r="J29" s="377">
        <f>IFERROR(INDEX('EFF-E_ANTC'!$C$4:$H$47,MATCH($B29,'EFF-E_ANTC'!$A$4:$A$47,0),MATCH(J$5,'EFF-E_ANTC'!$C$3:$H$3,0)),"")</f>
        <v>6.6777008175099004E-2</v>
      </c>
      <c r="K29" s="379">
        <f>IFERROR(INDEX('AFA-E_ANTC'!$J$5:$O$48,MATCH($B29,'AFA-E_ANTC'!$A$5:$A$48,0),MATCH(K$5,'AFA-E_ANTC'!$J$3:$O$3,0)),"")</f>
        <v>0.42532283795650333</v>
      </c>
      <c r="L29" s="379">
        <f>IFERROR(INDEX('AFA-E_ANTC'!$J$5:$O$48,MATCH($B29,'AFA-E_ANTC'!$A$5:$A$48,0),MATCH(L$5,'AFA-E_ANTC'!$J$3:$O$3,0)),"")</f>
        <v>0.33706878442068333</v>
      </c>
      <c r="M29" s="379">
        <f>IFERROR(INDEX('AFA-E_ANTC'!$J$5:$O$48,MATCH($B29,'AFA-E_ANTC'!$A$5:$A$48,0),MATCH(M$5,'AFA-E_ANTC'!$J$3:$O$3,0)),"")</f>
        <v>0.15171434294469499</v>
      </c>
      <c r="N29" s="379">
        <f>IFERROR(INDEX('AFA-E_ANTC'!$J$5:$O$48,MATCH($B29,'AFA-E_ANTC'!$A$5:$A$48,0),MATCH(N$5,'AFA-E_ANTC'!$J$3:$O$3,0)),"")</f>
        <v>6.6477490540613332E-2</v>
      </c>
      <c r="O29" s="379">
        <f>IFERROR(INDEX('AFA-E_ANTC'!$J$5:$O$48,MATCH($B29,'AFA-E_ANTC'!$A$5:$A$48,0),MATCH(O$5,'AFA-E_ANTC'!$J$3:$O$3,0)),"")</f>
        <v>2.8637041139474666E-2</v>
      </c>
      <c r="P29" s="379">
        <f>IFERROR(INDEX('AFA-E_ANTC'!$P$5:$P$48,MATCH($B29,'AFA-E_ANTC'!$A$5:$A$48,0)),"")</f>
        <v>0.06</v>
      </c>
      <c r="Q29" s="381">
        <f>IFERROR(INDEX('RESID-E_ANTC'!$M$5:$T$48,MATCH($B29,'RESID-E_ANTC'!$A$5:$A$48,0),MATCH(Q$5,'RESID-E_ANTC'!$M$3:$T$3,0)),"")</f>
        <v>25.1952522652347</v>
      </c>
      <c r="R29" s="381">
        <f>IFERROR(INDEX('RESID-E_ANTC'!$M$5:$T$48,MATCH($B29,'RESID-E_ANTC'!$A$5:$A$48,0),MATCH(R$5,'RESID-E_ANTC'!$M$3:$T$3,0)),"")</f>
        <v>23.083651962362801</v>
      </c>
      <c r="S29" s="381">
        <f>IFERROR(INDEX('RESID-E_ANTC'!$M$5:$T$48,MATCH($B29,'RESID-E_ANTC'!$A$5:$A$48,0),MATCH(S$5,'RESID-E_ANTC'!$M$3:$T$3,0)),"")</f>
        <v>15.5161252325553</v>
      </c>
      <c r="T29" s="381">
        <f>IFERROR(INDEX('RESID-E_ANTC'!$M$5:$T$48,MATCH($B29,'RESID-E_ANTC'!$A$5:$A$48,0),MATCH(T$5,'RESID-E_ANTC'!$M$3:$T$3,0)),"")</f>
        <v>0</v>
      </c>
      <c r="U29" s="381">
        <f>IFERROR(INDEX('RESID-E_ANTC'!$M$5:$T$48,MATCH($B29,'RESID-E_ANTC'!$A$5:$A$48,0),MATCH(U$5,'RESID-E_ANTC'!$M$3:$T$3,0)),"")</f>
        <v>0</v>
      </c>
      <c r="V29" s="231">
        <v>3</v>
      </c>
      <c r="W29" s="231">
        <v>0</v>
      </c>
    </row>
    <row r="30" spans="2:23" x14ac:dyDescent="0.25">
      <c r="B30" s="385" t="str">
        <f>IF(ITEMS_Tech_E!D30="","",ITEMS_Tech_E!D30)</f>
        <v>TPPUBUSGAS-E</v>
      </c>
      <c r="C30" s="232" t="str">
        <f>IF(ITEMS_Tech_E!E30="","",ITEMS_Tech_E!E30)</f>
        <v>Transport Passenger Bus Gas-Existing</v>
      </c>
      <c r="D30" s="219" t="s">
        <v>563</v>
      </c>
      <c r="E30" s="219" t="s">
        <v>235</v>
      </c>
      <c r="F30" s="377">
        <f>IFERROR(INDEX('EFF-E_ANTC'!$C$4:$H$47,MATCH($B30,'EFF-E_ANTC'!$A$4:$A$47,0),MATCH(F$5,'EFF-E_ANTC'!$C$3:$H$3,0)),"")</f>
        <v>6.1451225052252298E-2</v>
      </c>
      <c r="G30" s="377">
        <f>IFERROR(INDEX('EFF-E_ANTC'!$C$4:$H$47,MATCH($B30,'EFF-E_ANTC'!$A$4:$A$47,0),MATCH(G$5,'EFF-E_ANTC'!$C$3:$H$3,0)),"")</f>
        <v>6.1451225052252298E-2</v>
      </c>
      <c r="H30" s="377">
        <f>IFERROR(INDEX('EFF-E_ANTC'!$C$4:$H$47,MATCH($B30,'EFF-E_ANTC'!$A$4:$A$47,0),MATCH(H$5,'EFF-E_ANTC'!$C$3:$H$3,0)),"")</f>
        <v>6.1451225052252298E-2</v>
      </c>
      <c r="I30" s="377">
        <f>IFERROR(INDEX('EFF-E_ANTC'!$C$4:$H$47,MATCH($B30,'EFF-E_ANTC'!$A$4:$A$47,0),MATCH(I$5,'EFF-E_ANTC'!$C$3:$H$3,0)),"")</f>
        <v>6.1451225052252298E-2</v>
      </c>
      <c r="J30" s="377">
        <f>IFERROR(INDEX('EFF-E_ANTC'!$C$4:$H$47,MATCH($B30,'EFF-E_ANTC'!$A$4:$A$47,0),MATCH(J$5,'EFF-E_ANTC'!$C$3:$H$3,0)),"")</f>
        <v>6.1451225052252298E-2</v>
      </c>
      <c r="K30" s="379">
        <f>IFERROR(INDEX('AFA-E_ANTC'!$J$5:$O$48,MATCH($B30,'AFA-E_ANTC'!$A$5:$A$48,0),MATCH(K$5,'AFA-E_ANTC'!$J$3:$O$3,0)),"")</f>
        <v>0</v>
      </c>
      <c r="L30" s="379">
        <f>IFERROR(INDEX('AFA-E_ANTC'!$J$5:$O$48,MATCH($B30,'AFA-E_ANTC'!$A$5:$A$48,0),MATCH(L$5,'AFA-E_ANTC'!$J$3:$O$3,0)),"")</f>
        <v>0.37946385782623887</v>
      </c>
      <c r="M30" s="379">
        <f>IFERROR(INDEX('AFA-E_ANTC'!$J$5:$O$48,MATCH($B30,'AFA-E_ANTC'!$A$5:$A$48,0),MATCH(M$5,'AFA-E_ANTC'!$J$3:$O$3,0)),"")</f>
        <v>0.1707963256233061</v>
      </c>
      <c r="N30" s="379">
        <f>IFERROR(INDEX('AFA-E_ANTC'!$J$5:$O$48,MATCH($B30,'AFA-E_ANTC'!$A$5:$A$48,0),MATCH(N$5,'AFA-E_ANTC'!$J$3:$O$3,0)),"")</f>
        <v>7.4838745636157833E-2</v>
      </c>
      <c r="O30" s="379">
        <f>IFERROR(INDEX('AFA-E_ANTC'!$J$5:$O$48,MATCH($B30,'AFA-E_ANTC'!$A$5:$A$48,0),MATCH(O$5,'AFA-E_ANTC'!$J$3:$O$3,0)),"")</f>
        <v>3.2238885977502463E-2</v>
      </c>
      <c r="P30" s="379">
        <f>IFERROR(INDEX('AFA-E_ANTC'!$P$5:$P$48,MATCH($B30,'AFA-E_ANTC'!$A$5:$A$48,0)),"")</f>
        <v>5.3296583187381896E-2</v>
      </c>
      <c r="Q30" s="381">
        <f>IFERROR(INDEX('RESID-E_ANTC'!$M$5:$T$48,MATCH($B30,'RESID-E_ANTC'!$A$5:$A$48,0),MATCH(Q$5,'RESID-E_ANTC'!$M$3:$T$3,0)),"")</f>
        <v>0.25195252265234702</v>
      </c>
      <c r="R30" s="381">
        <f>IFERROR(INDEX('RESID-E_ANTC'!$M$5:$T$48,MATCH($B30,'RESID-E_ANTC'!$A$5:$A$48,0),MATCH(R$5,'RESID-E_ANTC'!$M$3:$T$3,0)),"")</f>
        <v>0.230836519623628</v>
      </c>
      <c r="S30" s="381">
        <f>IFERROR(INDEX('RESID-E_ANTC'!$M$5:$T$48,MATCH($B30,'RESID-E_ANTC'!$A$5:$A$48,0),MATCH(S$5,'RESID-E_ANTC'!$M$3:$T$3,0)),"")</f>
        <v>0.155161252325553</v>
      </c>
      <c r="T30" s="381">
        <f>IFERROR(INDEX('RESID-E_ANTC'!$M$5:$T$48,MATCH($B30,'RESID-E_ANTC'!$A$5:$A$48,0),MATCH(T$5,'RESID-E_ANTC'!$M$3:$T$3,0)),"")</f>
        <v>0</v>
      </c>
      <c r="U30" s="381">
        <f>IFERROR(INDEX('RESID-E_ANTC'!$M$5:$T$48,MATCH($B30,'RESID-E_ANTC'!$A$5:$A$48,0),MATCH(U$5,'RESID-E_ANTC'!$M$3:$T$3,0)),"")</f>
        <v>0</v>
      </c>
      <c r="V30" s="231">
        <v>3</v>
      </c>
      <c r="W30" s="231">
        <v>0</v>
      </c>
    </row>
    <row r="31" spans="2:23" x14ac:dyDescent="0.25">
      <c r="B31" s="385" t="str">
        <f>IF(ITEMS_Tech_E!D31="","",ITEMS_Tech_E!D31)</f>
        <v>*</v>
      </c>
      <c r="C31" s="232" t="str">
        <f>IF(ITEMS_Tech_E!E31="","",ITEMS_Tech_E!E31)</f>
        <v/>
      </c>
      <c r="D31" s="374"/>
      <c r="E31" s="374"/>
      <c r="F31" s="377">
        <f>IFERROR(INDEX('EFF-E_ANTC'!$C$4:$H$47,MATCH($B31,'EFF-E_ANTC'!$A$4:$A$47,0),MATCH(F$5,'EFF-E_ANTC'!$C$3:$H$3,0)),"")</f>
        <v>6.4348339348895098E-2</v>
      </c>
      <c r="G31" s="377">
        <f>IFERROR(INDEX('EFF-E_ANTC'!$C$4:$H$47,MATCH($B31,'EFF-E_ANTC'!$A$4:$A$47,0),MATCH(G$5,'EFF-E_ANTC'!$C$3:$H$3,0)),"")</f>
        <v>6.4532835825940396E-2</v>
      </c>
      <c r="H31" s="377">
        <f>IFERROR(INDEX('EFF-E_ANTC'!$C$4:$H$47,MATCH($B31,'EFF-E_ANTC'!$A$4:$A$47,0),MATCH(H$5,'EFF-E_ANTC'!$C$3:$H$3,0)),"")</f>
        <v>6.5227894002483106E-2</v>
      </c>
      <c r="I31" s="377">
        <f>IFERROR(INDEX('EFF-E_ANTC'!$C$4:$H$47,MATCH($B31,'EFF-E_ANTC'!$A$4:$A$47,0),MATCH(I$5,'EFF-E_ANTC'!$C$3:$H$3,0)),"")</f>
        <v>6.6011283101863896E-2</v>
      </c>
      <c r="J31" s="377">
        <f>IFERROR(INDEX('EFF-E_ANTC'!$C$4:$H$47,MATCH($B31,'EFF-E_ANTC'!$A$4:$A$47,0),MATCH(J$5,'EFF-E_ANTC'!$C$3:$H$3,0)),"")</f>
        <v>6.6777008175099004E-2</v>
      </c>
      <c r="K31" s="379">
        <f>IFERROR(INDEX('AFA-E_ANTC'!$J$5:$O$48,MATCH($B31,'AFA-E_ANTC'!$A$5:$A$48,0),MATCH(K$5,'AFA-E_ANTC'!$J$3:$O$3,0)),"")</f>
        <v>0.42532283795650333</v>
      </c>
      <c r="L31" s="379">
        <f>IFERROR(INDEX('AFA-E_ANTC'!$J$5:$O$48,MATCH($B31,'AFA-E_ANTC'!$A$5:$A$48,0),MATCH(L$5,'AFA-E_ANTC'!$J$3:$O$3,0)),"")</f>
        <v>0.33706878442068333</v>
      </c>
      <c r="M31" s="379">
        <f>IFERROR(INDEX('AFA-E_ANTC'!$J$5:$O$48,MATCH($B31,'AFA-E_ANTC'!$A$5:$A$48,0),MATCH(M$5,'AFA-E_ANTC'!$J$3:$O$3,0)),"")</f>
        <v>0.15171434294469499</v>
      </c>
      <c r="N31" s="379">
        <f>IFERROR(INDEX('AFA-E_ANTC'!$J$5:$O$48,MATCH($B31,'AFA-E_ANTC'!$A$5:$A$48,0),MATCH(N$5,'AFA-E_ANTC'!$J$3:$O$3,0)),"")</f>
        <v>6.6477490540613332E-2</v>
      </c>
      <c r="O31" s="379">
        <f>IFERROR(INDEX('AFA-E_ANTC'!$J$5:$O$48,MATCH($B31,'AFA-E_ANTC'!$A$5:$A$48,0),MATCH(O$5,'AFA-E_ANTC'!$J$3:$O$3,0)),"")</f>
        <v>2.8637041139474666E-2</v>
      </c>
      <c r="P31" s="379">
        <f>IFERROR(INDEX('AFA-E_ANTC'!$P$5:$P$48,MATCH($B31,'AFA-E_ANTC'!$A$5:$A$48,0)),"")</f>
        <v>0.06</v>
      </c>
      <c r="Q31" s="381">
        <f>IFERROR(INDEX('RESID-E_ANTC'!$M$5:$T$48,MATCH($B31,'RESID-E_ANTC'!$A$5:$A$48,0),MATCH(Q$5,'RESID-E_ANTC'!$M$3:$T$3,0)),"")</f>
        <v>25.1952522652347</v>
      </c>
      <c r="R31" s="381">
        <f>IFERROR(INDEX('RESID-E_ANTC'!$M$5:$T$48,MATCH($B31,'RESID-E_ANTC'!$A$5:$A$48,0),MATCH(R$5,'RESID-E_ANTC'!$M$3:$T$3,0)),"")</f>
        <v>23.083651962362801</v>
      </c>
      <c r="S31" s="381">
        <f>IFERROR(INDEX('RESID-E_ANTC'!$M$5:$T$48,MATCH($B31,'RESID-E_ANTC'!$A$5:$A$48,0),MATCH(S$5,'RESID-E_ANTC'!$M$3:$T$3,0)),"")</f>
        <v>15.5161252325553</v>
      </c>
      <c r="T31" s="381">
        <f>IFERROR(INDEX('RESID-E_ANTC'!$M$5:$T$48,MATCH($B31,'RESID-E_ANTC'!$A$5:$A$48,0),MATCH(T$5,'RESID-E_ANTC'!$M$3:$T$3,0)),"")</f>
        <v>0</v>
      </c>
      <c r="U31" s="381">
        <f>IFERROR(INDEX('RESID-E_ANTC'!$M$5:$T$48,MATCH($B31,'RESID-E_ANTC'!$A$5:$A$48,0),MATCH(U$5,'RESID-E_ANTC'!$M$3:$T$3,0)),"")</f>
        <v>0</v>
      </c>
      <c r="V31" s="231"/>
      <c r="W31" s="231"/>
    </row>
    <row r="32" spans="2:23" x14ac:dyDescent="0.25">
      <c r="B32" s="385" t="str">
        <f>IF(ITEMS_Tech_E!D32="","",ITEMS_Tech_E!D32)</f>
        <v>*</v>
      </c>
      <c r="C32" s="232" t="str">
        <f>IF(ITEMS_Tech_E!E32="","",ITEMS_Tech_E!E32)</f>
        <v>Public Minibus Taxis</v>
      </c>
      <c r="D32" s="374"/>
      <c r="E32" s="374"/>
      <c r="F32" s="377">
        <f>IFERROR(INDEX('EFF-E_ANTC'!$C$4:$H$47,MATCH($B32,'EFF-E_ANTC'!$A$4:$A$47,0),MATCH(F$5,'EFF-E_ANTC'!$C$3:$H$3,0)),"")</f>
        <v>6.4348339348895098E-2</v>
      </c>
      <c r="G32" s="377">
        <f>IFERROR(INDEX('EFF-E_ANTC'!$C$4:$H$47,MATCH($B32,'EFF-E_ANTC'!$A$4:$A$47,0),MATCH(G$5,'EFF-E_ANTC'!$C$3:$H$3,0)),"")</f>
        <v>6.4532835825940396E-2</v>
      </c>
      <c r="H32" s="377">
        <f>IFERROR(INDEX('EFF-E_ANTC'!$C$4:$H$47,MATCH($B32,'EFF-E_ANTC'!$A$4:$A$47,0),MATCH(H$5,'EFF-E_ANTC'!$C$3:$H$3,0)),"")</f>
        <v>6.5227894002483106E-2</v>
      </c>
      <c r="I32" s="377">
        <f>IFERROR(INDEX('EFF-E_ANTC'!$C$4:$H$47,MATCH($B32,'EFF-E_ANTC'!$A$4:$A$47,0),MATCH(I$5,'EFF-E_ANTC'!$C$3:$H$3,0)),"")</f>
        <v>6.6011283101863896E-2</v>
      </c>
      <c r="J32" s="377">
        <f>IFERROR(INDEX('EFF-E_ANTC'!$C$4:$H$47,MATCH($B32,'EFF-E_ANTC'!$A$4:$A$47,0),MATCH(J$5,'EFF-E_ANTC'!$C$3:$H$3,0)),"")</f>
        <v>6.6777008175099004E-2</v>
      </c>
      <c r="K32" s="379">
        <f>IFERROR(INDEX('AFA-E_ANTC'!$J$5:$O$48,MATCH($B32,'AFA-E_ANTC'!$A$5:$A$48,0),MATCH(K$5,'AFA-E_ANTC'!$J$3:$O$3,0)),"")</f>
        <v>0.42532283795650333</v>
      </c>
      <c r="L32" s="379">
        <f>IFERROR(INDEX('AFA-E_ANTC'!$J$5:$O$48,MATCH($B32,'AFA-E_ANTC'!$A$5:$A$48,0),MATCH(L$5,'AFA-E_ANTC'!$J$3:$O$3,0)),"")</f>
        <v>0.33706878442068333</v>
      </c>
      <c r="M32" s="379">
        <f>IFERROR(INDEX('AFA-E_ANTC'!$J$5:$O$48,MATCH($B32,'AFA-E_ANTC'!$A$5:$A$48,0),MATCH(M$5,'AFA-E_ANTC'!$J$3:$O$3,0)),"")</f>
        <v>0.15171434294469499</v>
      </c>
      <c r="N32" s="379">
        <f>IFERROR(INDEX('AFA-E_ANTC'!$J$5:$O$48,MATCH($B32,'AFA-E_ANTC'!$A$5:$A$48,0),MATCH(N$5,'AFA-E_ANTC'!$J$3:$O$3,0)),"")</f>
        <v>6.6477490540613332E-2</v>
      </c>
      <c r="O32" s="379">
        <f>IFERROR(INDEX('AFA-E_ANTC'!$J$5:$O$48,MATCH($B32,'AFA-E_ANTC'!$A$5:$A$48,0),MATCH(O$5,'AFA-E_ANTC'!$J$3:$O$3,0)),"")</f>
        <v>2.8637041139474666E-2</v>
      </c>
      <c r="P32" s="379">
        <f>IFERROR(INDEX('AFA-E_ANTC'!$P$5:$P$48,MATCH($B32,'AFA-E_ANTC'!$A$5:$A$48,0)),"")</f>
        <v>0.06</v>
      </c>
      <c r="Q32" s="381">
        <f>IFERROR(INDEX('RESID-E_ANTC'!$M$5:$T$48,MATCH($B32,'RESID-E_ANTC'!$A$5:$A$48,0),MATCH(Q$5,'RESID-E_ANTC'!$M$3:$T$3,0)),"")</f>
        <v>25.1952522652347</v>
      </c>
      <c r="R32" s="381">
        <f>IFERROR(INDEX('RESID-E_ANTC'!$M$5:$T$48,MATCH($B32,'RESID-E_ANTC'!$A$5:$A$48,0),MATCH(R$5,'RESID-E_ANTC'!$M$3:$T$3,0)),"")</f>
        <v>23.083651962362801</v>
      </c>
      <c r="S32" s="381">
        <f>IFERROR(INDEX('RESID-E_ANTC'!$M$5:$T$48,MATCH($B32,'RESID-E_ANTC'!$A$5:$A$48,0),MATCH(S$5,'RESID-E_ANTC'!$M$3:$T$3,0)),"")</f>
        <v>15.5161252325553</v>
      </c>
      <c r="T32" s="381">
        <f>IFERROR(INDEX('RESID-E_ANTC'!$M$5:$T$48,MATCH($B32,'RESID-E_ANTC'!$A$5:$A$48,0),MATCH(T$5,'RESID-E_ANTC'!$M$3:$T$3,0)),"")</f>
        <v>0</v>
      </c>
      <c r="U32" s="381">
        <f>IFERROR(INDEX('RESID-E_ANTC'!$M$5:$T$48,MATCH($B32,'RESID-E_ANTC'!$A$5:$A$48,0),MATCH(U$5,'RESID-E_ANTC'!$M$3:$T$3,0)),"")</f>
        <v>0</v>
      </c>
      <c r="V32" s="231"/>
      <c r="W32" s="231"/>
    </row>
    <row r="33" spans="2:23" x14ac:dyDescent="0.25">
      <c r="B33" s="385" t="str">
        <f>IF(ITEMS_Tech_E!D33="","",ITEMS_Tech_E!D33)</f>
        <v>TPPUMBTODS-E</v>
      </c>
      <c r="C33" s="232" t="str">
        <f>IF(ITEMS_Tech_E!E33="","",ITEMS_Tech_E!E33)</f>
        <v>Transport Passenger Minibus Oil Diesel-Existing</v>
      </c>
      <c r="D33" s="219" t="s">
        <v>411</v>
      </c>
      <c r="E33" s="219" t="s">
        <v>279</v>
      </c>
      <c r="F33" s="377">
        <f>IFERROR(INDEX('EFF-E_ANTC'!$C$4:$H$47,MATCH($B33,'EFF-E_ANTC'!$A$4:$A$47,0),MATCH(F$5,'EFF-E_ANTC'!$C$3:$H$3,0)),"")</f>
        <v>0.23693697386285401</v>
      </c>
      <c r="G33" s="377">
        <f>IFERROR(INDEX('EFF-E_ANTC'!$C$4:$H$47,MATCH($B33,'EFF-E_ANTC'!$A$4:$A$47,0),MATCH(G$5,'EFF-E_ANTC'!$C$3:$H$3,0)),"")</f>
        <v>0.23714071054781499</v>
      </c>
      <c r="H33" s="377">
        <f>IFERROR(INDEX('EFF-E_ANTC'!$C$4:$H$47,MATCH($B33,'EFF-E_ANTC'!$A$4:$A$47,0),MATCH(H$5,'EFF-E_ANTC'!$C$3:$H$3,0)),"")</f>
        <v>0.23771796611346999</v>
      </c>
      <c r="I33" s="377">
        <f>IFERROR(INDEX('EFF-E_ANTC'!$C$4:$H$47,MATCH($B33,'EFF-E_ANTC'!$A$4:$A$47,0),MATCH(I$5,'EFF-E_ANTC'!$C$3:$H$3,0)),"")</f>
        <v>0.238197153562765</v>
      </c>
      <c r="J33" s="377">
        <f>IFERROR(INDEX('EFF-E_ANTC'!$C$4:$H$47,MATCH($B33,'EFF-E_ANTC'!$A$4:$A$47,0),MATCH(J$5,'EFF-E_ANTC'!$C$3:$H$3,0)),"")</f>
        <v>0.23860947241442801</v>
      </c>
      <c r="K33" s="379">
        <f>IFERROR(INDEX('AFA-E_ANTC'!$J$5:$O$48,MATCH($B33,'AFA-E_ANTC'!$A$5:$A$48,0),MATCH(K$5,'AFA-E_ANTC'!$J$3:$O$3,0)),"")</f>
        <v>0.87237008971306285</v>
      </c>
      <c r="L33" s="379">
        <f>IFERROR(INDEX('AFA-E_ANTC'!$J$5:$O$48,MATCH($B33,'AFA-E_ANTC'!$A$5:$A$48,0),MATCH(L$5,'AFA-E_ANTC'!$J$3:$O$3,0)),"")</f>
        <v>0.77665376321311141</v>
      </c>
      <c r="M33" s="379">
        <f>IFERROR(INDEX('AFA-E_ANTC'!$J$5:$O$48,MATCH($B33,'AFA-E_ANTC'!$A$5:$A$48,0),MATCH(M$5,'AFA-E_ANTC'!$J$3:$O$3,0)),"")</f>
        <v>0.52618992875458293</v>
      </c>
      <c r="N33" s="379">
        <f>IFERROR(INDEX('AFA-E_ANTC'!$J$5:$O$48,MATCH($B33,'AFA-E_ANTC'!$A$5:$A$48,0),MATCH(N$5,'AFA-E_ANTC'!$J$3:$O$3,0)),"")</f>
        <v>0.35582807474639144</v>
      </c>
      <c r="O33" s="379">
        <f>IFERROR(INDEX('AFA-E_ANTC'!$J$5:$O$48,MATCH($B33,'AFA-E_ANTC'!$A$5:$A$48,0),MATCH(O$5,'AFA-E_ANTC'!$J$3:$O$3,0)),"")</f>
        <v>0.24031541952783342</v>
      </c>
      <c r="P33" s="379">
        <f>IFERROR(INDEX('AFA-E_ANTC'!$P$5:$P$48,MATCH($B33,'AFA-E_ANTC'!$A$5:$A$48,0)),"")</f>
        <v>3.4999999999999996E-2</v>
      </c>
      <c r="Q33" s="381">
        <f>IFERROR(INDEX('RESID-E_ANTC'!$M$5:$T$48,MATCH($B33,'RESID-E_ANTC'!$A$5:$A$48,0),MATCH(Q$5,'RESID-E_ANTC'!$M$3:$T$3,0)),"")</f>
        <v>69.8415661662536</v>
      </c>
      <c r="R33" s="381">
        <f>IFERROR(INDEX('RESID-E_ANTC'!$M$5:$T$48,MATCH($B33,'RESID-E_ANTC'!$A$5:$A$48,0),MATCH(R$5,'RESID-E_ANTC'!$M$3:$T$3,0)),"")</f>
        <v>66.6909703537209</v>
      </c>
      <c r="S33" s="381">
        <f>IFERROR(INDEX('RESID-E_ANTC'!$M$5:$T$48,MATCH($B33,'RESID-E_ANTC'!$A$5:$A$48,0),MATCH(S$5,'RESID-E_ANTC'!$M$3:$T$3,0)),"")</f>
        <v>48.344847105240099</v>
      </c>
      <c r="T33" s="381">
        <f>IFERROR(INDEX('RESID-E_ANTC'!$M$5:$T$48,MATCH($B33,'RESID-E_ANTC'!$A$5:$A$48,0),MATCH(T$5,'RESID-E_ANTC'!$M$3:$T$3,0)),"")</f>
        <v>0</v>
      </c>
      <c r="U33" s="381">
        <f>IFERROR(INDEX('RESID-E_ANTC'!$M$5:$T$48,MATCH($B33,'RESID-E_ANTC'!$A$5:$A$48,0),MATCH(U$5,'RESID-E_ANTC'!$M$3:$T$3,0)),"")</f>
        <v>0</v>
      </c>
      <c r="V33" s="231">
        <v>3</v>
      </c>
      <c r="W33" s="231">
        <v>0</v>
      </c>
    </row>
    <row r="34" spans="2:23" x14ac:dyDescent="0.25">
      <c r="B34" s="385" t="str">
        <f>IF(ITEMS_Tech_E!D34="","",ITEMS_Tech_E!D34)</f>
        <v>TPPUMBTOGS-E</v>
      </c>
      <c r="C34" s="232" t="str">
        <f>IF(ITEMS_Tech_E!E34="","",ITEMS_Tech_E!E34)</f>
        <v>Transport Passenger Minibus Oil Gasoline-Existing</v>
      </c>
      <c r="D34" s="219" t="s">
        <v>413</v>
      </c>
      <c r="E34" s="219" t="s">
        <v>279</v>
      </c>
      <c r="F34" s="377">
        <f>IFERROR(INDEX('EFF-E_ANTC'!$C$4:$H$47,MATCH($B34,'EFF-E_ANTC'!$A$4:$A$47,0),MATCH(F$5,'EFF-E_ANTC'!$C$3:$H$3,0)),"")</f>
        <v>0.2007607462921</v>
      </c>
      <c r="G34" s="377">
        <f>IFERROR(INDEX('EFF-E_ANTC'!$C$4:$H$47,MATCH($B34,'EFF-E_ANTC'!$A$4:$A$47,0),MATCH(G$5,'EFF-E_ANTC'!$C$3:$H$3,0)),"")</f>
        <v>0.20159853580370701</v>
      </c>
      <c r="H34" s="377">
        <f>IFERROR(INDEX('EFF-E_ANTC'!$C$4:$H$47,MATCH($B34,'EFF-E_ANTC'!$A$4:$A$47,0),MATCH(H$5,'EFF-E_ANTC'!$C$3:$H$3,0)),"")</f>
        <v>0.203758901219809</v>
      </c>
      <c r="I34" s="377">
        <f>IFERROR(INDEX('EFF-E_ANTC'!$C$4:$H$47,MATCH($B34,'EFF-E_ANTC'!$A$4:$A$47,0),MATCH(I$5,'EFF-E_ANTC'!$C$3:$H$3,0)),"")</f>
        <v>0.205400647316764</v>
      </c>
      <c r="J34" s="377">
        <f>IFERROR(INDEX('EFF-E_ANTC'!$C$4:$H$47,MATCH($B34,'EFF-E_ANTC'!$A$4:$A$47,0),MATCH(J$5,'EFF-E_ANTC'!$C$3:$H$3,0)),"")</f>
        <v>0.206733282045863</v>
      </c>
      <c r="K34" s="379">
        <f>IFERROR(INDEX('AFA-E_ANTC'!$J$5:$O$48,MATCH($B34,'AFA-E_ANTC'!$A$5:$A$48,0),MATCH(K$5,'AFA-E_ANTC'!$J$3:$O$3,0)),"")</f>
        <v>0.57175281338925998</v>
      </c>
      <c r="L34" s="379">
        <f>IFERROR(INDEX('AFA-E_ANTC'!$J$5:$O$48,MATCH($B34,'AFA-E_ANTC'!$A$5:$A$48,0),MATCH(L$5,'AFA-E_ANTC'!$J$3:$O$3,0)),"")</f>
        <v>0.51619355860632565</v>
      </c>
      <c r="M34" s="379">
        <f>IFERROR(INDEX('AFA-E_ANTC'!$J$5:$O$48,MATCH($B34,'AFA-E_ANTC'!$A$5:$A$48,0),MATCH(M$5,'AFA-E_ANTC'!$J$3:$O$3,0)),"")</f>
        <v>0.36251688170644575</v>
      </c>
      <c r="N34" s="379">
        <f>IFERROR(INDEX('AFA-E_ANTC'!$J$5:$O$48,MATCH($B34,'AFA-E_ANTC'!$A$5:$A$48,0),MATCH(N$5,'AFA-E_ANTC'!$J$3:$O$3,0)),"")</f>
        <v>0.25189181905238711</v>
      </c>
      <c r="O34" s="379">
        <f>IFERROR(INDEX('AFA-E_ANTC'!$J$5:$O$48,MATCH($B34,'AFA-E_ANTC'!$A$5:$A$48,0),MATCH(O$5,'AFA-E_ANTC'!$J$3:$O$3,0)),"")</f>
        <v>0.17389158868771801</v>
      </c>
      <c r="P34" s="379">
        <f>IFERROR(INDEX('AFA-E_ANTC'!$P$5:$P$48,MATCH($B34,'AFA-E_ANTC'!$A$5:$A$48,0)),"")</f>
        <v>3.4999999999999996E-2</v>
      </c>
      <c r="Q34" s="381">
        <f>IFERROR(INDEX('RESID-E_ANTC'!$M$5:$T$48,MATCH($B34,'RESID-E_ANTC'!$A$5:$A$48,0),MATCH(Q$5,'RESID-E_ANTC'!$M$3:$T$3,0)),"")</f>
        <v>253.885003628612</v>
      </c>
      <c r="R34" s="381">
        <f>IFERROR(INDEX('RESID-E_ANTC'!$M$5:$T$48,MATCH($B34,'RESID-E_ANTC'!$A$5:$A$48,0),MATCH(R$5,'RESID-E_ANTC'!$M$3:$T$3,0)),"")</f>
        <v>223.81698991359701</v>
      </c>
      <c r="S34" s="381">
        <f>IFERROR(INDEX('RESID-E_ANTC'!$M$5:$T$48,MATCH($B34,'RESID-E_ANTC'!$A$5:$A$48,0),MATCH(S$5,'RESID-E_ANTC'!$M$3:$T$3,0)),"")</f>
        <v>136.09445444360699</v>
      </c>
      <c r="T34" s="381">
        <f>IFERROR(INDEX('RESID-E_ANTC'!$M$5:$T$48,MATCH($B34,'RESID-E_ANTC'!$A$5:$A$48,0),MATCH(T$5,'RESID-E_ANTC'!$M$3:$T$3,0)),"")</f>
        <v>0</v>
      </c>
      <c r="U34" s="381">
        <f>IFERROR(INDEX('RESID-E_ANTC'!$M$5:$T$48,MATCH($B34,'RESID-E_ANTC'!$A$5:$A$48,0),MATCH(U$5,'RESID-E_ANTC'!$M$3:$T$3,0)),"")</f>
        <v>0</v>
      </c>
      <c r="V34" s="231">
        <v>3</v>
      </c>
      <c r="W34" s="231">
        <v>0</v>
      </c>
    </row>
    <row r="35" spans="2:23" x14ac:dyDescent="0.25">
      <c r="B35" s="385" t="str">
        <f>IF(ITEMS_Tech_E!D35="","",ITEMS_Tech_E!D35)</f>
        <v>TPPUMBTGAS-E</v>
      </c>
      <c r="C35" s="232" t="str">
        <f>IF(ITEMS_Tech_E!E35="","",ITEMS_Tech_E!E35)</f>
        <v>Transport Passenger Minibus Gas-Existing</v>
      </c>
      <c r="D35" s="219" t="s">
        <v>563</v>
      </c>
      <c r="E35" s="219" t="s">
        <v>279</v>
      </c>
      <c r="F35" s="377">
        <f>IFERROR(INDEX('EFF-E_ANTC'!$C$4:$H$47,MATCH($B35,'EFF-E_ANTC'!$A$4:$A$47,0),MATCH(F$5,'EFF-E_ANTC'!$C$3:$H$3,0)),"")</f>
        <v>0.2119495613148375</v>
      </c>
      <c r="G35" s="377">
        <f>IFERROR(INDEX('EFF-E_ANTC'!$C$4:$H$47,MATCH($B35,'EFF-E_ANTC'!$A$4:$A$47,0),MATCH(G$5,'EFF-E_ANTC'!$C$3:$H$3,0)),"")</f>
        <v>0.2119495613148375</v>
      </c>
      <c r="H35" s="377">
        <f>IFERROR(INDEX('EFF-E_ANTC'!$C$4:$H$47,MATCH($B35,'EFF-E_ANTC'!$A$4:$A$47,0),MATCH(H$5,'EFF-E_ANTC'!$C$3:$H$3,0)),"")</f>
        <v>0.2119495613148375</v>
      </c>
      <c r="I35" s="377">
        <f>IFERROR(INDEX('EFF-E_ANTC'!$C$4:$H$47,MATCH($B35,'EFF-E_ANTC'!$A$4:$A$47,0),MATCH(I$5,'EFF-E_ANTC'!$C$3:$H$3,0)),"")</f>
        <v>0.2119495613148375</v>
      </c>
      <c r="J35" s="377">
        <f>IFERROR(INDEX('EFF-E_ANTC'!$C$4:$H$47,MATCH($B35,'EFF-E_ANTC'!$A$4:$A$47,0),MATCH(J$5,'EFF-E_ANTC'!$C$3:$H$3,0)),"")</f>
        <v>0.2119495613148375</v>
      </c>
      <c r="K35" s="379">
        <f>IFERROR(INDEX('AFA-E_ANTC'!$J$5:$O$48,MATCH($B35,'AFA-E_ANTC'!$A$5:$A$48,0),MATCH(K$5,'AFA-E_ANTC'!$J$3:$O$3,0)),"")</f>
        <v>0</v>
      </c>
      <c r="L35" s="379">
        <f>IFERROR(INDEX('AFA-E_ANTC'!$J$5:$O$48,MATCH($B35,'AFA-E_ANTC'!$A$5:$A$48,0),MATCH(L$5,'AFA-E_ANTC'!$J$3:$O$3,0)),"")</f>
        <v>0.86175849406483251</v>
      </c>
      <c r="M35" s="379">
        <f>IFERROR(INDEX('AFA-E_ANTC'!$J$5:$O$48,MATCH($B35,'AFA-E_ANTC'!$A$5:$A$48,0),MATCH(M$5,'AFA-E_ANTC'!$J$3:$O$3,0)),"")</f>
        <v>0.60520321659162479</v>
      </c>
      <c r="N35" s="379">
        <f>IFERROR(INDEX('AFA-E_ANTC'!$J$5:$O$48,MATCH($B35,'AFA-E_ANTC'!$A$5:$A$48,0),MATCH(N$5,'AFA-E_ANTC'!$J$3:$O$3,0)),"")</f>
        <v>0.42052038626732363</v>
      </c>
      <c r="O35" s="379">
        <f>IFERROR(INDEX('AFA-E_ANTC'!$J$5:$O$48,MATCH($B35,'AFA-E_ANTC'!$A$5:$A$48,0),MATCH(O$5,'AFA-E_ANTC'!$J$3:$O$3,0)),"")</f>
        <v>0.29030302896970861</v>
      </c>
      <c r="P35" s="379">
        <f>IFERROR(INDEX('AFA-E_ANTC'!$P$5:$P$48,MATCH($B35,'AFA-E_ANTC'!$A$5:$A$48,0)),"")</f>
        <v>2.0965008962084201E-2</v>
      </c>
      <c r="Q35" s="381">
        <f>IFERROR(INDEX('RESID-E_ANTC'!$M$5:$T$48,MATCH($B35,'RESID-E_ANTC'!$A$5:$A$48,0),MATCH(Q$5,'RESID-E_ANTC'!$M$3:$T$3,0)),"")</f>
        <v>2.5388500362861199</v>
      </c>
      <c r="R35" s="381">
        <f>IFERROR(INDEX('RESID-E_ANTC'!$M$5:$T$48,MATCH($B35,'RESID-E_ANTC'!$A$5:$A$48,0),MATCH(R$5,'RESID-E_ANTC'!$M$3:$T$3,0)),"")</f>
        <v>2.2381698991359702</v>
      </c>
      <c r="S35" s="381">
        <f>IFERROR(INDEX('RESID-E_ANTC'!$M$5:$T$48,MATCH($B35,'RESID-E_ANTC'!$A$5:$A$48,0),MATCH(S$5,'RESID-E_ANTC'!$M$3:$T$3,0)),"")</f>
        <v>1.3609445444360699</v>
      </c>
      <c r="T35" s="381">
        <f>IFERROR(INDEX('RESID-E_ANTC'!$M$5:$T$48,MATCH($B35,'RESID-E_ANTC'!$A$5:$A$48,0),MATCH(T$5,'RESID-E_ANTC'!$M$3:$T$3,0)),"")</f>
        <v>0</v>
      </c>
      <c r="U35" s="381">
        <f>IFERROR(INDEX('RESID-E_ANTC'!$M$5:$T$48,MATCH($B35,'RESID-E_ANTC'!$A$5:$A$48,0),MATCH(U$5,'RESID-E_ANTC'!$M$3:$T$3,0)),"")</f>
        <v>0</v>
      </c>
      <c r="V35" s="231">
        <v>3</v>
      </c>
      <c r="W35" s="231">
        <v>0</v>
      </c>
    </row>
    <row r="36" spans="2:23" x14ac:dyDescent="0.25">
      <c r="B36" s="385" t="str">
        <f>IF(ITEMS_Tech_E!D36="","",ITEMS_Tech_E!D36)</f>
        <v>*</v>
      </c>
      <c r="C36" s="232" t="str">
        <f>IF(ITEMS_Tech_E!E36="","",ITEMS_Tech_E!E36)</f>
        <v/>
      </c>
      <c r="D36" s="374"/>
      <c r="E36" s="374"/>
      <c r="F36" s="377">
        <f>IFERROR(INDEX('EFF-E_ANTC'!$C$4:$H$47,MATCH($B36,'EFF-E_ANTC'!$A$4:$A$47,0),MATCH(F$5,'EFF-E_ANTC'!$C$3:$H$3,0)),"")</f>
        <v>6.4348339348895098E-2</v>
      </c>
      <c r="G36" s="377">
        <f>IFERROR(INDEX('EFF-E_ANTC'!$C$4:$H$47,MATCH($B36,'EFF-E_ANTC'!$A$4:$A$47,0),MATCH(G$5,'EFF-E_ANTC'!$C$3:$H$3,0)),"")</f>
        <v>6.4532835825940396E-2</v>
      </c>
      <c r="H36" s="377">
        <f>IFERROR(INDEX('EFF-E_ANTC'!$C$4:$H$47,MATCH($B36,'EFF-E_ANTC'!$A$4:$A$47,0),MATCH(H$5,'EFF-E_ANTC'!$C$3:$H$3,0)),"")</f>
        <v>6.5227894002483106E-2</v>
      </c>
      <c r="I36" s="377">
        <f>IFERROR(INDEX('EFF-E_ANTC'!$C$4:$H$47,MATCH($B36,'EFF-E_ANTC'!$A$4:$A$47,0),MATCH(I$5,'EFF-E_ANTC'!$C$3:$H$3,0)),"")</f>
        <v>6.6011283101863896E-2</v>
      </c>
      <c r="J36" s="377">
        <f>IFERROR(INDEX('EFF-E_ANTC'!$C$4:$H$47,MATCH($B36,'EFF-E_ANTC'!$A$4:$A$47,0),MATCH(J$5,'EFF-E_ANTC'!$C$3:$H$3,0)),"")</f>
        <v>6.6777008175099004E-2</v>
      </c>
      <c r="K36" s="379">
        <f>IFERROR(INDEX('AFA-E_ANTC'!$J$5:$O$48,MATCH($B36,'AFA-E_ANTC'!$A$5:$A$48,0),MATCH(K$5,'AFA-E_ANTC'!$J$3:$O$3,0)),"")</f>
        <v>0.42532283795650333</v>
      </c>
      <c r="L36" s="379">
        <f>IFERROR(INDEX('AFA-E_ANTC'!$J$5:$O$48,MATCH($B36,'AFA-E_ANTC'!$A$5:$A$48,0),MATCH(L$5,'AFA-E_ANTC'!$J$3:$O$3,0)),"")</f>
        <v>0.33706878442068333</v>
      </c>
      <c r="M36" s="379">
        <f>IFERROR(INDEX('AFA-E_ANTC'!$J$5:$O$48,MATCH($B36,'AFA-E_ANTC'!$A$5:$A$48,0),MATCH(M$5,'AFA-E_ANTC'!$J$3:$O$3,0)),"")</f>
        <v>0.15171434294469499</v>
      </c>
      <c r="N36" s="379">
        <f>IFERROR(INDEX('AFA-E_ANTC'!$J$5:$O$48,MATCH($B36,'AFA-E_ANTC'!$A$5:$A$48,0),MATCH(N$5,'AFA-E_ANTC'!$J$3:$O$3,0)),"")</f>
        <v>6.6477490540613332E-2</v>
      </c>
      <c r="O36" s="379">
        <f>IFERROR(INDEX('AFA-E_ANTC'!$J$5:$O$48,MATCH($B36,'AFA-E_ANTC'!$A$5:$A$48,0),MATCH(O$5,'AFA-E_ANTC'!$J$3:$O$3,0)),"")</f>
        <v>2.8637041139474666E-2</v>
      </c>
      <c r="P36" s="379">
        <f>IFERROR(INDEX('AFA-E_ANTC'!$P$5:$P$48,MATCH($B36,'AFA-E_ANTC'!$A$5:$A$48,0)),"")</f>
        <v>0.06</v>
      </c>
      <c r="Q36" s="381">
        <f>IFERROR(INDEX('RESID-E_ANTC'!$M$5:$T$48,MATCH($B36,'RESID-E_ANTC'!$A$5:$A$48,0),MATCH(Q$5,'RESID-E_ANTC'!$M$3:$T$3,0)),"")</f>
        <v>25.1952522652347</v>
      </c>
      <c r="R36" s="381">
        <f>IFERROR(INDEX('RESID-E_ANTC'!$M$5:$T$48,MATCH($B36,'RESID-E_ANTC'!$A$5:$A$48,0),MATCH(R$5,'RESID-E_ANTC'!$M$3:$T$3,0)),"")</f>
        <v>23.083651962362801</v>
      </c>
      <c r="S36" s="381">
        <f>IFERROR(INDEX('RESID-E_ANTC'!$M$5:$T$48,MATCH($B36,'RESID-E_ANTC'!$A$5:$A$48,0),MATCH(S$5,'RESID-E_ANTC'!$M$3:$T$3,0)),"")</f>
        <v>15.5161252325553</v>
      </c>
      <c r="T36" s="381">
        <f>IFERROR(INDEX('RESID-E_ANTC'!$M$5:$T$48,MATCH($B36,'RESID-E_ANTC'!$A$5:$A$48,0),MATCH(T$5,'RESID-E_ANTC'!$M$3:$T$3,0)),"")</f>
        <v>0</v>
      </c>
      <c r="U36" s="381">
        <f>IFERROR(INDEX('RESID-E_ANTC'!$M$5:$T$48,MATCH($B36,'RESID-E_ANTC'!$A$5:$A$48,0),MATCH(U$5,'RESID-E_ANTC'!$M$3:$T$3,0)),"")</f>
        <v>0</v>
      </c>
      <c r="V36" s="231"/>
      <c r="W36" s="231"/>
    </row>
    <row r="37" spans="2:23" x14ac:dyDescent="0.25">
      <c r="B37" s="385" t="str">
        <f>IF(ITEMS_Tech_E!D37="","",ITEMS_Tech_E!D37)</f>
        <v>*</v>
      </c>
      <c r="C37" s="232" t="str">
        <f>IF(ITEMS_Tech_E!E37="","",ITEMS_Tech_E!E37)</f>
        <v/>
      </c>
      <c r="D37" s="374"/>
      <c r="E37" s="374"/>
      <c r="F37" s="377">
        <f>IFERROR(INDEX('EFF-E_ANTC'!$C$4:$H$47,MATCH($B37,'EFF-E_ANTC'!$A$4:$A$47,0),MATCH(F$5,'EFF-E_ANTC'!$C$3:$H$3,0)),"")</f>
        <v>6.4348339348895098E-2</v>
      </c>
      <c r="G37" s="377">
        <f>IFERROR(INDEX('EFF-E_ANTC'!$C$4:$H$47,MATCH($B37,'EFF-E_ANTC'!$A$4:$A$47,0),MATCH(G$5,'EFF-E_ANTC'!$C$3:$H$3,0)),"")</f>
        <v>6.4532835825940396E-2</v>
      </c>
      <c r="H37" s="377">
        <f>IFERROR(INDEX('EFF-E_ANTC'!$C$4:$H$47,MATCH($B37,'EFF-E_ANTC'!$A$4:$A$47,0),MATCH(H$5,'EFF-E_ANTC'!$C$3:$H$3,0)),"")</f>
        <v>6.5227894002483106E-2</v>
      </c>
      <c r="I37" s="377">
        <f>IFERROR(INDEX('EFF-E_ANTC'!$C$4:$H$47,MATCH($B37,'EFF-E_ANTC'!$A$4:$A$47,0),MATCH(I$5,'EFF-E_ANTC'!$C$3:$H$3,0)),"")</f>
        <v>6.6011283101863896E-2</v>
      </c>
      <c r="J37" s="377">
        <f>IFERROR(INDEX('EFF-E_ANTC'!$C$4:$H$47,MATCH($B37,'EFF-E_ANTC'!$A$4:$A$47,0),MATCH(J$5,'EFF-E_ANTC'!$C$3:$H$3,0)),"")</f>
        <v>6.6777008175099004E-2</v>
      </c>
      <c r="K37" s="379">
        <f>IFERROR(INDEX('AFA-E_ANTC'!$J$5:$O$48,MATCH($B37,'AFA-E_ANTC'!$A$5:$A$48,0),MATCH(K$5,'AFA-E_ANTC'!$J$3:$O$3,0)),"")</f>
        <v>0.42532283795650333</v>
      </c>
      <c r="L37" s="379">
        <f>IFERROR(INDEX('AFA-E_ANTC'!$J$5:$O$48,MATCH($B37,'AFA-E_ANTC'!$A$5:$A$48,0),MATCH(L$5,'AFA-E_ANTC'!$J$3:$O$3,0)),"")</f>
        <v>0.33706878442068333</v>
      </c>
      <c r="M37" s="379">
        <f>IFERROR(INDEX('AFA-E_ANTC'!$J$5:$O$48,MATCH($B37,'AFA-E_ANTC'!$A$5:$A$48,0),MATCH(M$5,'AFA-E_ANTC'!$J$3:$O$3,0)),"")</f>
        <v>0.15171434294469499</v>
      </c>
      <c r="N37" s="379">
        <f>IFERROR(INDEX('AFA-E_ANTC'!$J$5:$O$48,MATCH($B37,'AFA-E_ANTC'!$A$5:$A$48,0),MATCH(N$5,'AFA-E_ANTC'!$J$3:$O$3,0)),"")</f>
        <v>6.6477490540613332E-2</v>
      </c>
      <c r="O37" s="379">
        <f>IFERROR(INDEX('AFA-E_ANTC'!$J$5:$O$48,MATCH($B37,'AFA-E_ANTC'!$A$5:$A$48,0),MATCH(O$5,'AFA-E_ANTC'!$J$3:$O$3,0)),"")</f>
        <v>2.8637041139474666E-2</v>
      </c>
      <c r="P37" s="379">
        <f>IFERROR(INDEX('AFA-E_ANTC'!$P$5:$P$48,MATCH($B37,'AFA-E_ANTC'!$A$5:$A$48,0)),"")</f>
        <v>0.06</v>
      </c>
      <c r="Q37" s="381">
        <f>IFERROR(INDEX('RESID-E_ANTC'!$M$5:$T$48,MATCH($B37,'RESID-E_ANTC'!$A$5:$A$48,0),MATCH(Q$5,'RESID-E_ANTC'!$M$3:$T$3,0)),"")</f>
        <v>25.1952522652347</v>
      </c>
      <c r="R37" s="381">
        <f>IFERROR(INDEX('RESID-E_ANTC'!$M$5:$T$48,MATCH($B37,'RESID-E_ANTC'!$A$5:$A$48,0),MATCH(R$5,'RESID-E_ANTC'!$M$3:$T$3,0)),"")</f>
        <v>23.083651962362801</v>
      </c>
      <c r="S37" s="381">
        <f>IFERROR(INDEX('RESID-E_ANTC'!$M$5:$T$48,MATCH($B37,'RESID-E_ANTC'!$A$5:$A$48,0),MATCH(S$5,'RESID-E_ANTC'!$M$3:$T$3,0)),"")</f>
        <v>15.5161252325553</v>
      </c>
      <c r="T37" s="381">
        <f>IFERROR(INDEX('RESID-E_ANTC'!$M$5:$T$48,MATCH($B37,'RESID-E_ANTC'!$A$5:$A$48,0),MATCH(T$5,'RESID-E_ANTC'!$M$3:$T$3,0)),"")</f>
        <v>0</v>
      </c>
      <c r="U37" s="381">
        <f>IFERROR(INDEX('RESID-E_ANTC'!$M$5:$T$48,MATCH($B37,'RESID-E_ANTC'!$A$5:$A$48,0),MATCH(U$5,'RESID-E_ANTC'!$M$3:$T$3,0)),"")</f>
        <v>0</v>
      </c>
      <c r="V37" s="231"/>
      <c r="W37" s="231"/>
    </row>
    <row r="38" spans="2:23" x14ac:dyDescent="0.25">
      <c r="B38" s="385" t="str">
        <f>IF(ITEMS_Tech_E!D38="","",ITEMS_Tech_E!D38)</f>
        <v>*</v>
      </c>
      <c r="C38" s="232" t="str">
        <f>IF(ITEMS_Tech_E!E38="","",ITEMS_Tech_E!E38)</f>
        <v>Public Metrorail</v>
      </c>
      <c r="D38" s="374"/>
      <c r="E38" s="374"/>
      <c r="F38" s="377">
        <f>IFERROR(INDEX('EFF-E_ANTC'!$C$4:$H$47,MATCH($B38,'EFF-E_ANTC'!$A$4:$A$47,0),MATCH(F$5,'EFF-E_ANTC'!$C$3:$H$3,0)),"")</f>
        <v>6.4348339348895098E-2</v>
      </c>
      <c r="G38" s="377">
        <f>IFERROR(INDEX('EFF-E_ANTC'!$C$4:$H$47,MATCH($B38,'EFF-E_ANTC'!$A$4:$A$47,0),MATCH(G$5,'EFF-E_ANTC'!$C$3:$H$3,0)),"")</f>
        <v>6.4532835825940396E-2</v>
      </c>
      <c r="H38" s="377">
        <f>IFERROR(INDEX('EFF-E_ANTC'!$C$4:$H$47,MATCH($B38,'EFF-E_ANTC'!$A$4:$A$47,0),MATCH(H$5,'EFF-E_ANTC'!$C$3:$H$3,0)),"")</f>
        <v>6.5227894002483106E-2</v>
      </c>
      <c r="I38" s="377">
        <f>IFERROR(INDEX('EFF-E_ANTC'!$C$4:$H$47,MATCH($B38,'EFF-E_ANTC'!$A$4:$A$47,0),MATCH(I$5,'EFF-E_ANTC'!$C$3:$H$3,0)),"")</f>
        <v>6.6011283101863896E-2</v>
      </c>
      <c r="J38" s="377">
        <f>IFERROR(INDEX('EFF-E_ANTC'!$C$4:$H$47,MATCH($B38,'EFF-E_ANTC'!$A$4:$A$47,0),MATCH(J$5,'EFF-E_ANTC'!$C$3:$H$3,0)),"")</f>
        <v>6.6777008175099004E-2</v>
      </c>
      <c r="K38" s="379">
        <f>IFERROR(INDEX('AFA-E_ANTC'!$J$5:$O$48,MATCH($B38,'AFA-E_ANTC'!$A$5:$A$48,0),MATCH(K$5,'AFA-E_ANTC'!$J$3:$O$3,0)),"")</f>
        <v>0.42532283795650333</v>
      </c>
      <c r="L38" s="379">
        <f>IFERROR(INDEX('AFA-E_ANTC'!$J$5:$O$48,MATCH($B38,'AFA-E_ANTC'!$A$5:$A$48,0),MATCH(L$5,'AFA-E_ANTC'!$J$3:$O$3,0)),"")</f>
        <v>0.33706878442068333</v>
      </c>
      <c r="M38" s="379">
        <f>IFERROR(INDEX('AFA-E_ANTC'!$J$5:$O$48,MATCH($B38,'AFA-E_ANTC'!$A$5:$A$48,0),MATCH(M$5,'AFA-E_ANTC'!$J$3:$O$3,0)),"")</f>
        <v>0.15171434294469499</v>
      </c>
      <c r="N38" s="379">
        <f>IFERROR(INDEX('AFA-E_ANTC'!$J$5:$O$48,MATCH($B38,'AFA-E_ANTC'!$A$5:$A$48,0),MATCH(N$5,'AFA-E_ANTC'!$J$3:$O$3,0)),"")</f>
        <v>6.6477490540613332E-2</v>
      </c>
      <c r="O38" s="379">
        <f>IFERROR(INDEX('AFA-E_ANTC'!$J$5:$O$48,MATCH($B38,'AFA-E_ANTC'!$A$5:$A$48,0),MATCH(O$5,'AFA-E_ANTC'!$J$3:$O$3,0)),"")</f>
        <v>2.8637041139474666E-2</v>
      </c>
      <c r="P38" s="379">
        <f>IFERROR(INDEX('AFA-E_ANTC'!$P$5:$P$48,MATCH($B38,'AFA-E_ANTC'!$A$5:$A$48,0)),"")</f>
        <v>0.06</v>
      </c>
      <c r="Q38" s="381">
        <f>IFERROR(INDEX('RESID-E_ANTC'!$M$5:$T$48,MATCH($B38,'RESID-E_ANTC'!$A$5:$A$48,0),MATCH(Q$5,'RESID-E_ANTC'!$M$3:$T$3,0)),"")</f>
        <v>25.1952522652347</v>
      </c>
      <c r="R38" s="381">
        <f>IFERROR(INDEX('RESID-E_ANTC'!$M$5:$T$48,MATCH($B38,'RESID-E_ANTC'!$A$5:$A$48,0),MATCH(R$5,'RESID-E_ANTC'!$M$3:$T$3,0)),"")</f>
        <v>23.083651962362801</v>
      </c>
      <c r="S38" s="381">
        <f>IFERROR(INDEX('RESID-E_ANTC'!$M$5:$T$48,MATCH($B38,'RESID-E_ANTC'!$A$5:$A$48,0),MATCH(S$5,'RESID-E_ANTC'!$M$3:$T$3,0)),"")</f>
        <v>15.5161252325553</v>
      </c>
      <c r="T38" s="381">
        <f>IFERROR(INDEX('RESID-E_ANTC'!$M$5:$T$48,MATCH($B38,'RESID-E_ANTC'!$A$5:$A$48,0),MATCH(T$5,'RESID-E_ANTC'!$M$3:$T$3,0)),"")</f>
        <v>0</v>
      </c>
      <c r="U38" s="381">
        <f>IFERROR(INDEX('RESID-E_ANTC'!$M$5:$T$48,MATCH($B38,'RESID-E_ANTC'!$A$5:$A$48,0),MATCH(U$5,'RESID-E_ANTC'!$M$3:$T$3,0)),"")</f>
        <v>0</v>
      </c>
      <c r="V38" s="231"/>
      <c r="W38" s="231"/>
    </row>
    <row r="39" spans="2:23" x14ac:dyDescent="0.25">
      <c r="B39" s="385" t="str">
        <f>IF(ITEMS_Tech_E!D39="","",ITEMS_Tech_E!D39)</f>
        <v>TPPUMERELC-E</v>
      </c>
      <c r="C39" s="232" t="str">
        <f>IF(ITEMS_Tech_E!E39="","",ITEMS_Tech_E!E39)</f>
        <v>Transport Passenger Metro Rail Electricity-Existing</v>
      </c>
      <c r="D39" s="219" t="s">
        <v>412</v>
      </c>
      <c r="E39" s="219" t="s">
        <v>426</v>
      </c>
      <c r="F39" s="650">
        <f>IFERROR(INDEX('EFF-E_ANTC'!$C$4:$H$47,MATCH($B39,'EFF-E_ANTC'!$A$4:$A$47,0),MATCH(F$5,'EFF-E_ANTC'!$C$3:$H$3,0)),"")</f>
        <v>3.858057479967961</v>
      </c>
      <c r="G39" s="377">
        <f>IFERROR(INDEX('EFF-E_ANTC'!$C$4:$H$47,MATCH($B39,'EFF-E_ANTC'!$A$4:$A$47,0),MATCH(G$5,'EFF-E_ANTC'!$C$3:$H$3,0)),"")</f>
        <v>1</v>
      </c>
      <c r="H39" s="377">
        <f>IFERROR(INDEX('EFF-E_ANTC'!$C$4:$H$47,MATCH($B39,'EFF-E_ANTC'!$A$4:$A$47,0),MATCH(H$5,'EFF-E_ANTC'!$C$3:$H$3,0)),"")</f>
        <v>1</v>
      </c>
      <c r="I39" s="377">
        <f>IFERROR(INDEX('EFF-E_ANTC'!$C$4:$H$47,MATCH($B39,'EFF-E_ANTC'!$A$4:$A$47,0),MATCH(I$5,'EFF-E_ANTC'!$C$3:$H$3,0)),"")</f>
        <v>1</v>
      </c>
      <c r="J39" s="377">
        <f>IFERROR(INDEX('EFF-E_ANTC'!$C$4:$H$47,MATCH($B39,'EFF-E_ANTC'!$A$4:$A$47,0),MATCH(J$5,'EFF-E_ANTC'!$C$3:$H$3,0)),"")</f>
        <v>1</v>
      </c>
      <c r="K39" s="379">
        <f>IFERROR(INDEX('AFA-E_ANTC'!$J$5:$O$48,MATCH($B39,'AFA-E_ANTC'!$A$5:$A$48,0),MATCH(K$5,'AFA-E_ANTC'!$J$3:$O$3,0)),"")</f>
        <v>1</v>
      </c>
      <c r="L39" s="379">
        <f>IFERROR(INDEX('AFA-E_ANTC'!$J$5:$O$48,MATCH($B39,'AFA-E_ANTC'!$A$5:$A$48,0),MATCH(L$5,'AFA-E_ANTC'!$J$3:$O$3,0)),"")</f>
        <v>1</v>
      </c>
      <c r="M39" s="379">
        <f>IFERROR(INDEX('AFA-E_ANTC'!$J$5:$O$48,MATCH($B39,'AFA-E_ANTC'!$A$5:$A$48,0),MATCH(M$5,'AFA-E_ANTC'!$J$3:$O$3,0)),"")</f>
        <v>1</v>
      </c>
      <c r="N39" s="379">
        <f>IFERROR(INDEX('AFA-E_ANTC'!$J$5:$O$48,MATCH($B39,'AFA-E_ANTC'!$A$5:$A$48,0),MATCH(N$5,'AFA-E_ANTC'!$J$3:$O$3,0)),"")</f>
        <v>1</v>
      </c>
      <c r="O39" s="379">
        <f>IFERROR(INDEX('AFA-E_ANTC'!$J$5:$O$48,MATCH($B39,'AFA-E_ANTC'!$A$5:$A$48,0),MATCH(O$5,'AFA-E_ANTC'!$J$3:$O$3,0)),"")</f>
        <v>1</v>
      </c>
      <c r="P39" s="379">
        <f>IFERROR(INDEX('AFA-E_ANTC'!$P$5:$P$48,MATCH($B39,'AFA-E_ANTC'!$A$5:$A$48,0)),"")</f>
        <v>1</v>
      </c>
      <c r="Q39" s="381">
        <f>IFERROR(INDEX('RESID-E_ANTC'!$M$5:$T$48,MATCH($B39,'RESID-E_ANTC'!$A$5:$A$48,0),MATCH(Q$5,'RESID-E_ANTC'!$M$3:$T$3,0)),"")</f>
        <v>15.8</v>
      </c>
      <c r="R39" s="381">
        <f>IFERROR(INDEX('RESID-E_ANTC'!$M$5:$T$48,MATCH($B39,'RESID-E_ANTC'!$A$5:$A$48,0),MATCH(R$5,'RESID-E_ANTC'!$M$3:$T$3,0)),"")</f>
        <v>15.8</v>
      </c>
      <c r="S39" s="381">
        <f>IFERROR(INDEX('RESID-E_ANTC'!$M$5:$T$48,MATCH($B39,'RESID-E_ANTC'!$A$5:$A$48,0),MATCH(S$5,'RESID-E_ANTC'!$M$3:$T$3,0)),"")</f>
        <v>12.64</v>
      </c>
      <c r="T39" s="381">
        <f>IFERROR(INDEX('RESID-E_ANTC'!$M$5:$T$48,MATCH($B39,'RESID-E_ANTC'!$A$5:$A$48,0),MATCH(T$5,'RESID-E_ANTC'!$M$3:$T$3,0)),"")</f>
        <v>0</v>
      </c>
      <c r="U39" s="381">
        <f>IFERROR(INDEX('RESID-E_ANTC'!$M$5:$T$48,MATCH($B39,'RESID-E_ANTC'!$A$5:$A$48,0),MATCH(U$5,'RESID-E_ANTC'!$M$3:$T$3,0)),"")</f>
        <v>0</v>
      </c>
      <c r="V39" s="231">
        <v>3</v>
      </c>
      <c r="W39" s="231">
        <v>0</v>
      </c>
    </row>
    <row r="40" spans="2:23" x14ac:dyDescent="0.25">
      <c r="B40" s="385" t="str">
        <f>IF(ITEMS_Tech_E!D40="","",ITEMS_Tech_E!D40)</f>
        <v>*</v>
      </c>
      <c r="C40" s="232" t="str">
        <f>IF(ITEMS_Tech_E!E40="","",ITEMS_Tech_E!E40)</f>
        <v/>
      </c>
      <c r="D40" s="374"/>
      <c r="E40" s="374"/>
      <c r="F40" s="377">
        <f>IFERROR(INDEX('EFF-E_ANTC'!$C$4:$H$47,MATCH($B40,'EFF-E_ANTC'!$A$4:$A$47,0),MATCH(F$5,'EFF-E_ANTC'!$C$3:$H$3,0)),"")</f>
        <v>6.4348339348895098E-2</v>
      </c>
      <c r="G40" s="377">
        <f>IFERROR(INDEX('EFF-E_ANTC'!$C$4:$H$47,MATCH($B40,'EFF-E_ANTC'!$A$4:$A$47,0),MATCH(G$5,'EFF-E_ANTC'!$C$3:$H$3,0)),"")</f>
        <v>6.4532835825940396E-2</v>
      </c>
      <c r="H40" s="377">
        <f>IFERROR(INDEX('EFF-E_ANTC'!$C$4:$H$47,MATCH($B40,'EFF-E_ANTC'!$A$4:$A$47,0),MATCH(H$5,'EFF-E_ANTC'!$C$3:$H$3,0)),"")</f>
        <v>6.5227894002483106E-2</v>
      </c>
      <c r="I40" s="377">
        <f>IFERROR(INDEX('EFF-E_ANTC'!$C$4:$H$47,MATCH($B40,'EFF-E_ANTC'!$A$4:$A$47,0),MATCH(I$5,'EFF-E_ANTC'!$C$3:$H$3,0)),"")</f>
        <v>6.6011283101863896E-2</v>
      </c>
      <c r="J40" s="377">
        <f>IFERROR(INDEX('EFF-E_ANTC'!$C$4:$H$47,MATCH($B40,'EFF-E_ANTC'!$A$4:$A$47,0),MATCH(J$5,'EFF-E_ANTC'!$C$3:$H$3,0)),"")</f>
        <v>6.6777008175099004E-2</v>
      </c>
      <c r="K40" s="379">
        <f>IFERROR(INDEX('AFA-E_ANTC'!$J$5:$O$48,MATCH($B40,'AFA-E_ANTC'!$A$5:$A$48,0),MATCH(K$5,'AFA-E_ANTC'!$J$3:$O$3,0)),"")</f>
        <v>0.42532283795650333</v>
      </c>
      <c r="L40" s="379">
        <f>IFERROR(INDEX('AFA-E_ANTC'!$J$5:$O$48,MATCH($B40,'AFA-E_ANTC'!$A$5:$A$48,0),MATCH(L$5,'AFA-E_ANTC'!$J$3:$O$3,0)),"")</f>
        <v>0.33706878442068333</v>
      </c>
      <c r="M40" s="379">
        <f>IFERROR(INDEX('AFA-E_ANTC'!$J$5:$O$48,MATCH($B40,'AFA-E_ANTC'!$A$5:$A$48,0),MATCH(M$5,'AFA-E_ANTC'!$J$3:$O$3,0)),"")</f>
        <v>0.15171434294469499</v>
      </c>
      <c r="N40" s="379">
        <f>IFERROR(INDEX('AFA-E_ANTC'!$J$5:$O$48,MATCH($B40,'AFA-E_ANTC'!$A$5:$A$48,0),MATCH(N$5,'AFA-E_ANTC'!$J$3:$O$3,0)),"")</f>
        <v>6.6477490540613332E-2</v>
      </c>
      <c r="O40" s="379">
        <f>IFERROR(INDEX('AFA-E_ANTC'!$J$5:$O$48,MATCH($B40,'AFA-E_ANTC'!$A$5:$A$48,0),MATCH(O$5,'AFA-E_ANTC'!$J$3:$O$3,0)),"")</f>
        <v>2.8637041139474666E-2</v>
      </c>
      <c r="P40" s="379">
        <f>IFERROR(INDEX('AFA-E_ANTC'!$P$5:$P$48,MATCH($B40,'AFA-E_ANTC'!$A$5:$A$48,0)),"")</f>
        <v>0.06</v>
      </c>
      <c r="Q40" s="381">
        <f>IFERROR(INDEX('RESID-E_ANTC'!$M$5:$T$48,MATCH($B40,'RESID-E_ANTC'!$A$5:$A$48,0),MATCH(Q$5,'RESID-E_ANTC'!$M$3:$T$3,0)),"")</f>
        <v>25.1952522652347</v>
      </c>
      <c r="R40" s="381">
        <f>IFERROR(INDEX('RESID-E_ANTC'!$M$5:$T$48,MATCH($B40,'RESID-E_ANTC'!$A$5:$A$48,0),MATCH(R$5,'RESID-E_ANTC'!$M$3:$T$3,0)),"")</f>
        <v>23.083651962362801</v>
      </c>
      <c r="S40" s="381">
        <f>IFERROR(INDEX('RESID-E_ANTC'!$M$5:$T$48,MATCH($B40,'RESID-E_ANTC'!$A$5:$A$48,0),MATCH(S$5,'RESID-E_ANTC'!$M$3:$T$3,0)),"")</f>
        <v>15.5161252325553</v>
      </c>
      <c r="T40" s="381">
        <f>IFERROR(INDEX('RESID-E_ANTC'!$M$5:$T$48,MATCH($B40,'RESID-E_ANTC'!$A$5:$A$48,0),MATCH(T$5,'RESID-E_ANTC'!$M$3:$T$3,0)),"")</f>
        <v>0</v>
      </c>
      <c r="U40" s="381">
        <f>IFERROR(INDEX('RESID-E_ANTC'!$M$5:$T$48,MATCH($B40,'RESID-E_ANTC'!$A$5:$A$48,0),MATCH(U$5,'RESID-E_ANTC'!$M$3:$T$3,0)),"")</f>
        <v>0</v>
      </c>
      <c r="V40" s="231"/>
      <c r="W40" s="231"/>
    </row>
    <row r="41" spans="2:23" x14ac:dyDescent="0.25">
      <c r="B41" s="385" t="str">
        <f>IF(ITEMS_Tech_E!D41="","",ITEMS_Tech_E!D41)</f>
        <v>*</v>
      </c>
      <c r="C41" s="232" t="str">
        <f>IF(ITEMS_Tech_E!E41="","",ITEMS_Tech_E!E41)</f>
        <v/>
      </c>
      <c r="D41" s="374"/>
      <c r="E41" s="374"/>
      <c r="F41" s="377">
        <f>IFERROR(INDEX('EFF-E_ANTC'!$C$4:$H$47,MATCH($B41,'EFF-E_ANTC'!$A$4:$A$47,0),MATCH(F$5,'EFF-E_ANTC'!$C$3:$H$3,0)),"")</f>
        <v>6.4348339348895098E-2</v>
      </c>
      <c r="G41" s="377">
        <f>IFERROR(INDEX('EFF-E_ANTC'!$C$4:$H$47,MATCH($B41,'EFF-E_ANTC'!$A$4:$A$47,0),MATCH(G$5,'EFF-E_ANTC'!$C$3:$H$3,0)),"")</f>
        <v>6.4532835825940396E-2</v>
      </c>
      <c r="H41" s="377">
        <f>IFERROR(INDEX('EFF-E_ANTC'!$C$4:$H$47,MATCH($B41,'EFF-E_ANTC'!$A$4:$A$47,0),MATCH(H$5,'EFF-E_ANTC'!$C$3:$H$3,0)),"")</f>
        <v>6.5227894002483106E-2</v>
      </c>
      <c r="I41" s="377">
        <f>IFERROR(INDEX('EFF-E_ANTC'!$C$4:$H$47,MATCH($B41,'EFF-E_ANTC'!$A$4:$A$47,0),MATCH(I$5,'EFF-E_ANTC'!$C$3:$H$3,0)),"")</f>
        <v>6.6011283101863896E-2</v>
      </c>
      <c r="J41" s="377">
        <f>IFERROR(INDEX('EFF-E_ANTC'!$C$4:$H$47,MATCH($B41,'EFF-E_ANTC'!$A$4:$A$47,0),MATCH(J$5,'EFF-E_ANTC'!$C$3:$H$3,0)),"")</f>
        <v>6.6777008175099004E-2</v>
      </c>
      <c r="K41" s="379">
        <f>IFERROR(INDEX('AFA-E_ANTC'!$J$5:$O$48,MATCH($B41,'AFA-E_ANTC'!$A$5:$A$48,0),MATCH(K$5,'AFA-E_ANTC'!$J$3:$O$3,0)),"")</f>
        <v>0.42532283795650333</v>
      </c>
      <c r="L41" s="379">
        <f>IFERROR(INDEX('AFA-E_ANTC'!$J$5:$O$48,MATCH($B41,'AFA-E_ANTC'!$A$5:$A$48,0),MATCH(L$5,'AFA-E_ANTC'!$J$3:$O$3,0)),"")</f>
        <v>0.33706878442068333</v>
      </c>
      <c r="M41" s="379">
        <f>IFERROR(INDEX('AFA-E_ANTC'!$J$5:$O$48,MATCH($B41,'AFA-E_ANTC'!$A$5:$A$48,0),MATCH(M$5,'AFA-E_ANTC'!$J$3:$O$3,0)),"")</f>
        <v>0.15171434294469499</v>
      </c>
      <c r="N41" s="379">
        <f>IFERROR(INDEX('AFA-E_ANTC'!$J$5:$O$48,MATCH($B41,'AFA-E_ANTC'!$A$5:$A$48,0),MATCH(N$5,'AFA-E_ANTC'!$J$3:$O$3,0)),"")</f>
        <v>6.6477490540613332E-2</v>
      </c>
      <c r="O41" s="379">
        <f>IFERROR(INDEX('AFA-E_ANTC'!$J$5:$O$48,MATCH($B41,'AFA-E_ANTC'!$A$5:$A$48,0),MATCH(O$5,'AFA-E_ANTC'!$J$3:$O$3,0)),"")</f>
        <v>2.8637041139474666E-2</v>
      </c>
      <c r="P41" s="379">
        <f>IFERROR(INDEX('AFA-E_ANTC'!$P$5:$P$48,MATCH($B41,'AFA-E_ANTC'!$A$5:$A$48,0)),"")</f>
        <v>0.06</v>
      </c>
      <c r="Q41" s="381">
        <f>IFERROR(INDEX('RESID-E_ANTC'!$M$5:$T$48,MATCH($B41,'RESID-E_ANTC'!$A$5:$A$48,0),MATCH(Q$5,'RESID-E_ANTC'!$M$3:$T$3,0)),"")</f>
        <v>25.1952522652347</v>
      </c>
      <c r="R41" s="381">
        <f>IFERROR(INDEX('RESID-E_ANTC'!$M$5:$T$48,MATCH($B41,'RESID-E_ANTC'!$A$5:$A$48,0),MATCH(R$5,'RESID-E_ANTC'!$M$3:$T$3,0)),"")</f>
        <v>23.083651962362801</v>
      </c>
      <c r="S41" s="381">
        <f>IFERROR(INDEX('RESID-E_ANTC'!$M$5:$T$48,MATCH($B41,'RESID-E_ANTC'!$A$5:$A$48,0),MATCH(S$5,'RESID-E_ANTC'!$M$3:$T$3,0)),"")</f>
        <v>15.5161252325553</v>
      </c>
      <c r="T41" s="381">
        <f>IFERROR(INDEX('RESID-E_ANTC'!$M$5:$T$48,MATCH($B41,'RESID-E_ANTC'!$A$5:$A$48,0),MATCH(T$5,'RESID-E_ANTC'!$M$3:$T$3,0)),"")</f>
        <v>0</v>
      </c>
      <c r="U41" s="381">
        <f>IFERROR(INDEX('RESID-E_ANTC'!$M$5:$T$48,MATCH($B41,'RESID-E_ANTC'!$A$5:$A$48,0),MATCH(U$5,'RESID-E_ANTC'!$M$3:$T$3,0)),"")</f>
        <v>0</v>
      </c>
      <c r="V41" s="231"/>
      <c r="W41" s="231"/>
    </row>
    <row r="42" spans="2:23" x14ac:dyDescent="0.25">
      <c r="B42" s="385" t="str">
        <f>IF(ITEMS_Tech_E!D42="","",ITEMS_Tech_E!D42)</f>
        <v>*</v>
      </c>
      <c r="C42" s="232" t="str">
        <f>IF(ITEMS_Tech_E!E42="","",ITEMS_Tech_E!E42)</f>
        <v/>
      </c>
      <c r="D42" s="374"/>
      <c r="E42" s="374"/>
      <c r="F42" s="377">
        <f>IFERROR(INDEX('EFF-E_ANTC'!$C$4:$H$47,MATCH($B42,'EFF-E_ANTC'!$A$4:$A$47,0),MATCH(F$5,'EFF-E_ANTC'!$C$3:$H$3,0)),"")</f>
        <v>6.4348339348895098E-2</v>
      </c>
      <c r="G42" s="377">
        <f>IFERROR(INDEX('EFF-E_ANTC'!$C$4:$H$47,MATCH($B42,'EFF-E_ANTC'!$A$4:$A$47,0),MATCH(G$5,'EFF-E_ANTC'!$C$3:$H$3,0)),"")</f>
        <v>6.4532835825940396E-2</v>
      </c>
      <c r="H42" s="377">
        <f>IFERROR(INDEX('EFF-E_ANTC'!$C$4:$H$47,MATCH($B42,'EFF-E_ANTC'!$A$4:$A$47,0),MATCH(H$5,'EFF-E_ANTC'!$C$3:$H$3,0)),"")</f>
        <v>6.5227894002483106E-2</v>
      </c>
      <c r="I42" s="377">
        <f>IFERROR(INDEX('EFF-E_ANTC'!$C$4:$H$47,MATCH($B42,'EFF-E_ANTC'!$A$4:$A$47,0),MATCH(I$5,'EFF-E_ANTC'!$C$3:$H$3,0)),"")</f>
        <v>6.6011283101863896E-2</v>
      </c>
      <c r="J42" s="377">
        <f>IFERROR(INDEX('EFF-E_ANTC'!$C$4:$H$47,MATCH($B42,'EFF-E_ANTC'!$A$4:$A$47,0),MATCH(J$5,'EFF-E_ANTC'!$C$3:$H$3,0)),"")</f>
        <v>6.6777008175099004E-2</v>
      </c>
      <c r="K42" s="379">
        <f>IFERROR(INDEX('AFA-E_ANTC'!$J$5:$O$48,MATCH($B42,'AFA-E_ANTC'!$A$5:$A$48,0),MATCH(K$5,'AFA-E_ANTC'!$J$3:$O$3,0)),"")</f>
        <v>0.42532283795650333</v>
      </c>
      <c r="L42" s="379">
        <f>IFERROR(INDEX('AFA-E_ANTC'!$J$5:$O$48,MATCH($B42,'AFA-E_ANTC'!$A$5:$A$48,0),MATCH(L$5,'AFA-E_ANTC'!$J$3:$O$3,0)),"")</f>
        <v>0.33706878442068333</v>
      </c>
      <c r="M42" s="379">
        <f>IFERROR(INDEX('AFA-E_ANTC'!$J$5:$O$48,MATCH($B42,'AFA-E_ANTC'!$A$5:$A$48,0),MATCH(M$5,'AFA-E_ANTC'!$J$3:$O$3,0)),"")</f>
        <v>0.15171434294469499</v>
      </c>
      <c r="N42" s="379">
        <f>IFERROR(INDEX('AFA-E_ANTC'!$J$5:$O$48,MATCH($B42,'AFA-E_ANTC'!$A$5:$A$48,0),MATCH(N$5,'AFA-E_ANTC'!$J$3:$O$3,0)),"")</f>
        <v>6.6477490540613332E-2</v>
      </c>
      <c r="O42" s="379">
        <f>IFERROR(INDEX('AFA-E_ANTC'!$J$5:$O$48,MATCH($B42,'AFA-E_ANTC'!$A$5:$A$48,0),MATCH(O$5,'AFA-E_ANTC'!$J$3:$O$3,0)),"")</f>
        <v>2.8637041139474666E-2</v>
      </c>
      <c r="P42" s="379">
        <f>IFERROR(INDEX('AFA-E_ANTC'!$P$5:$P$48,MATCH($B42,'AFA-E_ANTC'!$A$5:$A$48,0)),"")</f>
        <v>0.06</v>
      </c>
      <c r="Q42" s="381">
        <f>IFERROR(INDEX('RESID-E_ANTC'!$M$5:$T$48,MATCH($B42,'RESID-E_ANTC'!$A$5:$A$48,0),MATCH(Q$5,'RESID-E_ANTC'!$M$3:$T$3,0)),"")</f>
        <v>25.1952522652347</v>
      </c>
      <c r="R42" s="381">
        <f>IFERROR(INDEX('RESID-E_ANTC'!$M$5:$T$48,MATCH($B42,'RESID-E_ANTC'!$A$5:$A$48,0),MATCH(R$5,'RESID-E_ANTC'!$M$3:$T$3,0)),"")</f>
        <v>23.083651962362801</v>
      </c>
      <c r="S42" s="381">
        <f>IFERROR(INDEX('RESID-E_ANTC'!$M$5:$T$48,MATCH($B42,'RESID-E_ANTC'!$A$5:$A$48,0),MATCH(S$5,'RESID-E_ANTC'!$M$3:$T$3,0)),"")</f>
        <v>15.5161252325553</v>
      </c>
      <c r="T42" s="381">
        <f>IFERROR(INDEX('RESID-E_ANTC'!$M$5:$T$48,MATCH($B42,'RESID-E_ANTC'!$A$5:$A$48,0),MATCH(T$5,'RESID-E_ANTC'!$M$3:$T$3,0)),"")</f>
        <v>0</v>
      </c>
      <c r="U42" s="381">
        <f>IFERROR(INDEX('RESID-E_ANTC'!$M$5:$T$48,MATCH($B42,'RESID-E_ANTC'!$A$5:$A$48,0),MATCH(U$5,'RESID-E_ANTC'!$M$3:$T$3,0)),"")</f>
        <v>0</v>
      </c>
      <c r="V42" s="231"/>
      <c r="W42" s="231"/>
    </row>
    <row r="43" spans="2:23" x14ac:dyDescent="0.25">
      <c r="B43" s="385" t="str">
        <f>IF(ITEMS_Tech_E!D43="","",ITEMS_Tech_E!D43)</f>
        <v>*</v>
      </c>
      <c r="C43" s="232" t="str">
        <f>IF(ITEMS_Tech_E!E43="","",ITEMS_Tech_E!E43)</f>
        <v>Light Commercial Vehicles</v>
      </c>
      <c r="D43" s="374"/>
      <c r="E43" s="374"/>
      <c r="F43" s="377">
        <f>IFERROR(INDEX('EFF-E_ANTC'!$C$4:$H$47,MATCH($B43,'EFF-E_ANTC'!$A$4:$A$47,0),MATCH(F$5,'EFF-E_ANTC'!$C$3:$H$3,0)),"")</f>
        <v>6.4348339348895098E-2</v>
      </c>
      <c r="G43" s="377">
        <f>IFERROR(INDEX('EFF-E_ANTC'!$C$4:$H$47,MATCH($B43,'EFF-E_ANTC'!$A$4:$A$47,0),MATCH(G$5,'EFF-E_ANTC'!$C$3:$H$3,0)),"")</f>
        <v>6.4532835825940396E-2</v>
      </c>
      <c r="H43" s="377">
        <f>IFERROR(INDEX('EFF-E_ANTC'!$C$4:$H$47,MATCH($B43,'EFF-E_ANTC'!$A$4:$A$47,0),MATCH(H$5,'EFF-E_ANTC'!$C$3:$H$3,0)),"")</f>
        <v>6.5227894002483106E-2</v>
      </c>
      <c r="I43" s="377">
        <f>IFERROR(INDEX('EFF-E_ANTC'!$C$4:$H$47,MATCH($B43,'EFF-E_ANTC'!$A$4:$A$47,0),MATCH(I$5,'EFF-E_ANTC'!$C$3:$H$3,0)),"")</f>
        <v>6.6011283101863896E-2</v>
      </c>
      <c r="J43" s="377">
        <f>IFERROR(INDEX('EFF-E_ANTC'!$C$4:$H$47,MATCH($B43,'EFF-E_ANTC'!$A$4:$A$47,0),MATCH(J$5,'EFF-E_ANTC'!$C$3:$H$3,0)),"")</f>
        <v>6.6777008175099004E-2</v>
      </c>
      <c r="K43" s="379">
        <f>IFERROR(INDEX('AFA-E_ANTC'!$J$5:$O$48,MATCH($B43,'AFA-E_ANTC'!$A$5:$A$48,0),MATCH(K$5,'AFA-E_ANTC'!$J$3:$O$3,0)),"")</f>
        <v>0.42532283795650333</v>
      </c>
      <c r="L43" s="379">
        <f>IFERROR(INDEX('AFA-E_ANTC'!$J$5:$O$48,MATCH($B43,'AFA-E_ANTC'!$A$5:$A$48,0),MATCH(L$5,'AFA-E_ANTC'!$J$3:$O$3,0)),"")</f>
        <v>0.33706878442068333</v>
      </c>
      <c r="M43" s="379">
        <f>IFERROR(INDEX('AFA-E_ANTC'!$J$5:$O$48,MATCH($B43,'AFA-E_ANTC'!$A$5:$A$48,0),MATCH(M$5,'AFA-E_ANTC'!$J$3:$O$3,0)),"")</f>
        <v>0.15171434294469499</v>
      </c>
      <c r="N43" s="379">
        <f>IFERROR(INDEX('AFA-E_ANTC'!$J$5:$O$48,MATCH($B43,'AFA-E_ANTC'!$A$5:$A$48,0),MATCH(N$5,'AFA-E_ANTC'!$J$3:$O$3,0)),"")</f>
        <v>6.6477490540613332E-2</v>
      </c>
      <c r="O43" s="379">
        <f>IFERROR(INDEX('AFA-E_ANTC'!$J$5:$O$48,MATCH($B43,'AFA-E_ANTC'!$A$5:$A$48,0),MATCH(O$5,'AFA-E_ANTC'!$J$3:$O$3,0)),"")</f>
        <v>2.8637041139474666E-2</v>
      </c>
      <c r="P43" s="379">
        <f>IFERROR(INDEX('AFA-E_ANTC'!$P$5:$P$48,MATCH($B43,'AFA-E_ANTC'!$A$5:$A$48,0)),"")</f>
        <v>0.06</v>
      </c>
      <c r="Q43" s="381">
        <f>IFERROR(INDEX('RESID-E_ANTC'!$M$5:$T$48,MATCH($B43,'RESID-E_ANTC'!$A$5:$A$48,0),MATCH(Q$5,'RESID-E_ANTC'!$M$3:$T$3,0)),"")</f>
        <v>25.1952522652347</v>
      </c>
      <c r="R43" s="381">
        <f>IFERROR(INDEX('RESID-E_ANTC'!$M$5:$T$48,MATCH($B43,'RESID-E_ANTC'!$A$5:$A$48,0),MATCH(R$5,'RESID-E_ANTC'!$M$3:$T$3,0)),"")</f>
        <v>23.083651962362801</v>
      </c>
      <c r="S43" s="381">
        <f>IFERROR(INDEX('RESID-E_ANTC'!$M$5:$T$48,MATCH($B43,'RESID-E_ANTC'!$A$5:$A$48,0),MATCH(S$5,'RESID-E_ANTC'!$M$3:$T$3,0)),"")</f>
        <v>15.5161252325553</v>
      </c>
      <c r="T43" s="381">
        <f>IFERROR(INDEX('RESID-E_ANTC'!$M$5:$T$48,MATCH($B43,'RESID-E_ANTC'!$A$5:$A$48,0),MATCH(T$5,'RESID-E_ANTC'!$M$3:$T$3,0)),"")</f>
        <v>0</v>
      </c>
      <c r="U43" s="381">
        <f>IFERROR(INDEX('RESID-E_ANTC'!$M$5:$T$48,MATCH($B43,'RESID-E_ANTC'!$A$5:$A$48,0),MATCH(U$5,'RESID-E_ANTC'!$M$3:$T$3,0)),"")</f>
        <v>0</v>
      </c>
      <c r="V43" s="231"/>
      <c r="W43" s="231"/>
    </row>
    <row r="44" spans="2:23" x14ac:dyDescent="0.25">
      <c r="B44" s="385" t="str">
        <f>IF(ITEMS_Tech_E!D44="","",ITEMS_Tech_E!D44)</f>
        <v>TFLCVODS-E</v>
      </c>
      <c r="C44" s="232" t="str">
        <f>IF(ITEMS_Tech_E!E44="","",ITEMS_Tech_E!E44)</f>
        <v>Transport Freight - LCV Oil Diesel-E</v>
      </c>
      <c r="D44" s="219" t="s">
        <v>411</v>
      </c>
      <c r="E44" s="219" t="s">
        <v>276</v>
      </c>
      <c r="F44" s="377">
        <f>IFERROR(INDEX('EFF-E_ANTC'!$C$4:$H$47,MATCH($B44,'EFF-E_ANTC'!$A$4:$A$47,0),MATCH(F$5,'EFF-E_ANTC'!$C$3:$H$3,0)),"")</f>
        <v>0.23594563867169499</v>
      </c>
      <c r="G44" s="377">
        <f>IFERROR(INDEX('EFF-E_ANTC'!$C$4:$H$47,MATCH($B44,'EFF-E_ANTC'!$A$4:$A$47,0),MATCH(G$5,'EFF-E_ANTC'!$C$3:$H$3,0)),"")</f>
        <v>0.236416891901715</v>
      </c>
      <c r="H44" s="377">
        <f>IFERROR(INDEX('EFF-E_ANTC'!$C$4:$H$47,MATCH($B44,'EFF-E_ANTC'!$A$4:$A$47,0),MATCH(H$5,'EFF-E_ANTC'!$C$3:$H$3,0)),"")</f>
        <v>0.237476755649043</v>
      </c>
      <c r="I44" s="377">
        <f>IFERROR(INDEX('EFF-E_ANTC'!$C$4:$H$47,MATCH($B44,'EFF-E_ANTC'!$A$4:$A$47,0),MATCH(I$5,'EFF-E_ANTC'!$C$3:$H$3,0)),"")</f>
        <v>0.23820734864530901</v>
      </c>
      <c r="J44" s="377">
        <f>IFERROR(INDEX('EFF-E_ANTC'!$C$4:$H$47,MATCH($B44,'EFF-E_ANTC'!$A$4:$A$47,0),MATCH(J$5,'EFF-E_ANTC'!$C$3:$H$3,0)),"")</f>
        <v>0.238773147737598</v>
      </c>
      <c r="K44" s="379">
        <f>IFERROR(INDEX('AFA-E_ANTC'!$J$5:$O$48,MATCH($B44,'AFA-E_ANTC'!$A$5:$A$48,0),MATCH(K$5,'AFA-E_ANTC'!$J$3:$O$3,0)),"")</f>
        <v>0.61072362441792005</v>
      </c>
      <c r="L44" s="379">
        <f>IFERROR(INDEX('AFA-E_ANTC'!$J$5:$O$48,MATCH($B44,'AFA-E_ANTC'!$A$5:$A$48,0),MATCH(L$5,'AFA-E_ANTC'!$J$3:$O$3,0)),"")</f>
        <v>0.49702259134711502</v>
      </c>
      <c r="M44" s="379">
        <f>IFERROR(INDEX('AFA-E_ANTC'!$J$5:$O$48,MATCH($B44,'AFA-E_ANTC'!$A$5:$A$48,0),MATCH(M$5,'AFA-E_ANTC'!$J$3:$O$3,0)),"")</f>
        <v>0.245271759217078</v>
      </c>
      <c r="N44" s="379">
        <f>IFERROR(INDEX('AFA-E_ANTC'!$J$5:$O$48,MATCH($B44,'AFA-E_ANTC'!$A$5:$A$48,0),MATCH(N$5,'AFA-E_ANTC'!$J$3:$O$3,0)),"")</f>
        <v>0.11943096485546</v>
      </c>
      <c r="O44" s="379">
        <f>IFERROR(INDEX('AFA-E_ANTC'!$J$5:$O$48,MATCH($B44,'AFA-E_ANTC'!$A$5:$A$48,0),MATCH(O$5,'AFA-E_ANTC'!$J$3:$O$3,0)),"")</f>
        <v>5.7755469331756251E-2</v>
      </c>
      <c r="P44" s="379">
        <f>IFERROR(INDEX('AFA-E_ANTC'!$P$5:$P$48,MATCH($B44,'AFA-E_ANTC'!$A$5:$A$48,0)),"")</f>
        <v>0.04</v>
      </c>
      <c r="Q44" s="381">
        <f>IFERROR(INDEX('RESID-E_ANTC'!$M$5:$T$48,MATCH($B44,'RESID-E_ANTC'!$A$5:$A$48,0),MATCH(Q$5,'RESID-E_ANTC'!$M$3:$T$3,0)),"")</f>
        <v>1151.5302002553699</v>
      </c>
      <c r="R44" s="381">
        <f>IFERROR(INDEX('RESID-E_ANTC'!$M$5:$T$48,MATCH($B44,'RESID-E_ANTC'!$A$5:$A$48,0),MATCH(R$5,'RESID-E_ANTC'!$M$3:$T$3,0)),"")</f>
        <v>1024.6176041897099</v>
      </c>
      <c r="S44" s="381">
        <f>IFERROR(INDEX('RESID-E_ANTC'!$M$5:$T$48,MATCH($B44,'RESID-E_ANTC'!$A$5:$A$48,0),MATCH(S$5,'RESID-E_ANTC'!$M$3:$T$3,0)),"")</f>
        <v>609.23289367381597</v>
      </c>
      <c r="T44" s="381">
        <f>IFERROR(INDEX('RESID-E_ANTC'!$M$5:$T$48,MATCH($B44,'RESID-E_ANTC'!$A$5:$A$48,0),MATCH(T$5,'RESID-E_ANTC'!$M$3:$T$3,0)),"")</f>
        <v>0</v>
      </c>
      <c r="U44" s="381">
        <f>IFERROR(INDEX('RESID-E_ANTC'!$M$5:$T$48,MATCH($B44,'RESID-E_ANTC'!$A$5:$A$48,0),MATCH(U$5,'RESID-E_ANTC'!$M$3:$T$3,0)),"")</f>
        <v>0</v>
      </c>
      <c r="V44" s="231">
        <v>3</v>
      </c>
      <c r="W44" s="231">
        <v>0</v>
      </c>
    </row>
    <row r="45" spans="2:23" x14ac:dyDescent="0.25">
      <c r="B45" s="385" t="str">
        <f>IF(ITEMS_Tech_E!D45="","",ITEMS_Tech_E!D45)</f>
        <v>TFLCVOGS-E</v>
      </c>
      <c r="C45" s="232" t="str">
        <f>IF(ITEMS_Tech_E!E45="","",ITEMS_Tech_E!E45)</f>
        <v>Transport Freight - LCV Oil Gasoline-E</v>
      </c>
      <c r="D45" s="219" t="s">
        <v>413</v>
      </c>
      <c r="E45" s="219" t="s">
        <v>276</v>
      </c>
      <c r="F45" s="377">
        <f>IFERROR(INDEX('EFF-E_ANTC'!$C$4:$H$47,MATCH($B45,'EFF-E_ANTC'!$A$4:$A$47,0),MATCH(F$5,'EFF-E_ANTC'!$C$3:$H$3,0)),"")</f>
        <v>0.206254237709705</v>
      </c>
      <c r="G45" s="377">
        <f>IFERROR(INDEX('EFF-E_ANTC'!$C$4:$H$47,MATCH($B45,'EFF-E_ANTC'!$A$4:$A$47,0),MATCH(G$5,'EFF-E_ANTC'!$C$3:$H$3,0)),"")</f>
        <v>0.206726097108171</v>
      </c>
      <c r="H45" s="377">
        <f>IFERROR(INDEX('EFF-E_ANTC'!$C$4:$H$47,MATCH($B45,'EFF-E_ANTC'!$A$4:$A$47,0),MATCH(H$5,'EFF-E_ANTC'!$C$3:$H$3,0)),"")</f>
        <v>0.20785170508495199</v>
      </c>
      <c r="I45" s="377">
        <f>IFERROR(INDEX('EFF-E_ANTC'!$C$4:$H$47,MATCH($B45,'EFF-E_ANTC'!$A$4:$A$47,0),MATCH(I$5,'EFF-E_ANTC'!$C$3:$H$3,0)),"")</f>
        <v>0.20866460609364401</v>
      </c>
      <c r="J45" s="377">
        <f>IFERROR(INDEX('EFF-E_ANTC'!$C$4:$H$47,MATCH($B45,'EFF-E_ANTC'!$A$4:$A$47,0),MATCH(J$5,'EFF-E_ANTC'!$C$3:$H$3,0)),"")</f>
        <v>0.209312603622752</v>
      </c>
      <c r="K45" s="379">
        <f>IFERROR(INDEX('AFA-E_ANTC'!$J$5:$O$48,MATCH($B45,'AFA-E_ANTC'!$A$5:$A$48,0),MATCH(K$5,'AFA-E_ANTC'!$J$3:$O$3,0)),"")</f>
        <v>0.42864819562748002</v>
      </c>
      <c r="L45" s="379">
        <f>IFERROR(INDEX('AFA-E_ANTC'!$J$5:$O$48,MATCH($B45,'AFA-E_ANTC'!$A$5:$A$48,0),MATCH(L$5,'AFA-E_ANTC'!$J$3:$O$3,0)),"")</f>
        <v>0.35290243326157716</v>
      </c>
      <c r="M45" s="379">
        <f>IFERROR(INDEX('AFA-E_ANTC'!$J$5:$O$48,MATCH($B45,'AFA-E_ANTC'!$A$5:$A$48,0),MATCH(M$5,'AFA-E_ANTC'!$J$3:$O$3,0)),"")</f>
        <v>0.18153971605538344</v>
      </c>
      <c r="N45" s="379">
        <f>IFERROR(INDEX('AFA-E_ANTC'!$J$5:$O$48,MATCH($B45,'AFA-E_ANTC'!$A$5:$A$48,0),MATCH(N$5,'AFA-E_ANTC'!$J$3:$O$3,0)),"")</f>
        <v>9.2245263435742852E-2</v>
      </c>
      <c r="O45" s="379">
        <f>IFERROR(INDEX('AFA-E_ANTC'!$J$5:$O$48,MATCH($B45,'AFA-E_ANTC'!$A$5:$A$48,0),MATCH(O$5,'AFA-E_ANTC'!$J$3:$O$3,0)),"")</f>
        <v>4.6556841701712572E-2</v>
      </c>
      <c r="P45" s="379">
        <f>IFERROR(INDEX('AFA-E_ANTC'!$P$5:$P$48,MATCH($B45,'AFA-E_ANTC'!$A$5:$A$48,0)),"")</f>
        <v>3.4999999999999996E-2</v>
      </c>
      <c r="Q45" s="381">
        <f>IFERROR(INDEX('RESID-E_ANTC'!$M$5:$T$48,MATCH($B45,'RESID-E_ANTC'!$A$5:$A$48,0),MATCH(Q$5,'RESID-E_ANTC'!$M$3:$T$3,0)),"")</f>
        <v>1296.7112413349801</v>
      </c>
      <c r="R45" s="381">
        <f>IFERROR(INDEX('RESID-E_ANTC'!$M$5:$T$48,MATCH($B45,'RESID-E_ANTC'!$A$5:$A$48,0),MATCH(R$5,'RESID-E_ANTC'!$M$3:$T$3,0)),"")</f>
        <v>1149.83638939547</v>
      </c>
      <c r="S45" s="381">
        <f>IFERROR(INDEX('RESID-E_ANTC'!$M$5:$T$48,MATCH($B45,'RESID-E_ANTC'!$A$5:$A$48,0),MATCH(S$5,'RESID-E_ANTC'!$M$3:$T$3,0)),"")</f>
        <v>721.33104862899097</v>
      </c>
      <c r="T45" s="381">
        <f>IFERROR(INDEX('RESID-E_ANTC'!$M$5:$T$48,MATCH($B45,'RESID-E_ANTC'!$A$5:$A$48,0),MATCH(T$5,'RESID-E_ANTC'!$M$3:$T$3,0)),"")</f>
        <v>0</v>
      </c>
      <c r="U45" s="381">
        <f>IFERROR(INDEX('RESID-E_ANTC'!$M$5:$T$48,MATCH($B45,'RESID-E_ANTC'!$A$5:$A$48,0),MATCH(U$5,'RESID-E_ANTC'!$M$3:$T$3,0)),"")</f>
        <v>0</v>
      </c>
      <c r="V45" s="231">
        <v>3</v>
      </c>
      <c r="W45" s="231">
        <v>0</v>
      </c>
    </row>
    <row r="46" spans="2:23" x14ac:dyDescent="0.25">
      <c r="B46" s="385" t="str">
        <f>IF(ITEMS_Tech_E!D46="","",ITEMS_Tech_E!D46)</f>
        <v>TFLCVGAS-E</v>
      </c>
      <c r="C46" s="232" t="str">
        <f>IF(ITEMS_Tech_E!E46="","",ITEMS_Tech_E!E46)</f>
        <v>Transport Freight - LCV Gas-E</v>
      </c>
      <c r="D46" s="219" t="s">
        <v>563</v>
      </c>
      <c r="E46" s="219" t="s">
        <v>276</v>
      </c>
      <c r="F46" s="377">
        <f>IFERROR(INDEX('EFF-E_ANTC'!$C$4:$H$47,MATCH($B46,'EFF-E_ANTC'!$A$4:$A$47,0),MATCH(F$5,'EFF-E_ANTC'!$C$3:$H$3,0)),"")</f>
        <v>0.21887575620523803</v>
      </c>
      <c r="G46" s="377">
        <f>IFERROR(INDEX('EFF-E_ANTC'!$C$4:$H$47,MATCH($B46,'EFF-E_ANTC'!$A$4:$A$47,0),MATCH(G$5,'EFF-E_ANTC'!$C$3:$H$3,0)),"")</f>
        <v>0.21887575620523803</v>
      </c>
      <c r="H46" s="377">
        <f>IFERROR(INDEX('EFF-E_ANTC'!$C$4:$H$47,MATCH($B46,'EFF-E_ANTC'!$A$4:$A$47,0),MATCH(H$5,'EFF-E_ANTC'!$C$3:$H$3,0)),"")</f>
        <v>0.21887575620523803</v>
      </c>
      <c r="I46" s="377">
        <f>IFERROR(INDEX('EFF-E_ANTC'!$C$4:$H$47,MATCH($B46,'EFF-E_ANTC'!$A$4:$A$47,0),MATCH(I$5,'EFF-E_ANTC'!$C$3:$H$3,0)),"")</f>
        <v>0.21887575620523803</v>
      </c>
      <c r="J46" s="377">
        <f>IFERROR(INDEX('EFF-E_ANTC'!$C$4:$H$47,MATCH($B46,'EFF-E_ANTC'!$A$4:$A$47,0),MATCH(J$5,'EFF-E_ANTC'!$C$3:$H$3,0)),"")</f>
        <v>0.21887575620523803</v>
      </c>
      <c r="K46" s="379">
        <f>IFERROR(INDEX('AFA-E_ANTC'!$J$5:$O$48,MATCH($B46,'AFA-E_ANTC'!$A$5:$A$48,0),MATCH(K$5,'AFA-E_ANTC'!$J$3:$O$3,0)),"")</f>
        <v>0</v>
      </c>
      <c r="L46" s="379">
        <f>IFERROR(INDEX('AFA-E_ANTC'!$J$5:$O$48,MATCH($B46,'AFA-E_ANTC'!$A$5:$A$48,0),MATCH(L$5,'AFA-E_ANTC'!$J$3:$O$3,0)),"")</f>
        <v>0.72724824852912129</v>
      </c>
      <c r="M46" s="379">
        <f>IFERROR(INDEX('AFA-E_ANTC'!$J$5:$O$48,MATCH($B46,'AFA-E_ANTC'!$A$5:$A$48,0),MATCH(M$5,'AFA-E_ANTC'!$J$3:$O$3,0)),"")</f>
        <v>0.3741103151926779</v>
      </c>
      <c r="N46" s="379">
        <f>IFERROR(INDEX('AFA-E_ANTC'!$J$5:$O$48,MATCH($B46,'AFA-E_ANTC'!$A$5:$A$48,0),MATCH(N$5,'AFA-E_ANTC'!$J$3:$O$3,0)),"")</f>
        <v>0.19009561835190497</v>
      </c>
      <c r="O46" s="379">
        <f>IFERROR(INDEX('AFA-E_ANTC'!$J$5:$O$48,MATCH($B46,'AFA-E_ANTC'!$A$5:$A$48,0),MATCH(O$5,'AFA-E_ANTC'!$J$3:$O$3,0)),"")</f>
        <v>9.5942613009759634E-2</v>
      </c>
      <c r="P46" s="379">
        <f>IFERROR(INDEX('AFA-E_ANTC'!$P$5:$P$48,MATCH($B46,'AFA-E_ANTC'!$A$5:$A$48,0)),"")</f>
        <v>1.6984001252854999E-2</v>
      </c>
      <c r="Q46" s="381">
        <f>IFERROR(INDEX('RESID-E_ANTC'!$M$5:$T$48,MATCH($B46,'RESID-E_ANTC'!$A$5:$A$48,0),MATCH(Q$5,'RESID-E_ANTC'!$M$3:$T$3,0)),"")</f>
        <v>12.967112413349801</v>
      </c>
      <c r="R46" s="381">
        <f>IFERROR(INDEX('RESID-E_ANTC'!$M$5:$T$48,MATCH($B46,'RESID-E_ANTC'!$A$5:$A$48,0),MATCH(R$5,'RESID-E_ANTC'!$M$3:$T$3,0)),"")</f>
        <v>11.4983638939547</v>
      </c>
      <c r="S46" s="381">
        <f>IFERROR(INDEX('RESID-E_ANTC'!$M$5:$T$48,MATCH($B46,'RESID-E_ANTC'!$A$5:$A$48,0),MATCH(S$5,'RESID-E_ANTC'!$M$3:$T$3,0)),"")</f>
        <v>7.2133104862899096</v>
      </c>
      <c r="T46" s="381">
        <f>IFERROR(INDEX('RESID-E_ANTC'!$M$5:$T$48,MATCH($B46,'RESID-E_ANTC'!$A$5:$A$48,0),MATCH(T$5,'RESID-E_ANTC'!$M$3:$T$3,0)),"")</f>
        <v>0</v>
      </c>
      <c r="U46" s="381">
        <f>IFERROR(INDEX('RESID-E_ANTC'!$M$5:$T$48,MATCH($B46,'RESID-E_ANTC'!$A$5:$A$48,0),MATCH(U$5,'RESID-E_ANTC'!$M$3:$T$3,0)),"")</f>
        <v>0</v>
      </c>
      <c r="V46" s="231">
        <v>3</v>
      </c>
      <c r="W46" s="231">
        <v>0</v>
      </c>
    </row>
    <row r="47" spans="2:23" x14ac:dyDescent="0.25">
      <c r="B47" s="385" t="str">
        <f>IF(ITEMS_Tech_E!D47="","",ITEMS_Tech_E!D47)</f>
        <v>*</v>
      </c>
      <c r="C47" s="232" t="str">
        <f>IF(ITEMS_Tech_E!E47="","",ITEMS_Tech_E!E47)</f>
        <v/>
      </c>
      <c r="D47" s="374"/>
      <c r="E47" s="374"/>
      <c r="F47" s="377">
        <f>IFERROR(INDEX('EFF-E_ANTC'!$C$4:$H$47,MATCH($B47,'EFF-E_ANTC'!$A$4:$A$47,0),MATCH(F$5,'EFF-E_ANTC'!$C$3:$H$3,0)),"")</f>
        <v>6.4348339348895098E-2</v>
      </c>
      <c r="G47" s="377">
        <f>IFERROR(INDEX('EFF-E_ANTC'!$C$4:$H$47,MATCH($B47,'EFF-E_ANTC'!$A$4:$A$47,0),MATCH(G$5,'EFF-E_ANTC'!$C$3:$H$3,0)),"")</f>
        <v>6.4532835825940396E-2</v>
      </c>
      <c r="H47" s="377">
        <f>IFERROR(INDEX('EFF-E_ANTC'!$C$4:$H$47,MATCH($B47,'EFF-E_ANTC'!$A$4:$A$47,0),MATCH(H$5,'EFF-E_ANTC'!$C$3:$H$3,0)),"")</f>
        <v>6.5227894002483106E-2</v>
      </c>
      <c r="I47" s="377">
        <f>IFERROR(INDEX('EFF-E_ANTC'!$C$4:$H$47,MATCH($B47,'EFF-E_ANTC'!$A$4:$A$47,0),MATCH(I$5,'EFF-E_ANTC'!$C$3:$H$3,0)),"")</f>
        <v>6.6011283101863896E-2</v>
      </c>
      <c r="J47" s="377">
        <f>IFERROR(INDEX('EFF-E_ANTC'!$C$4:$H$47,MATCH($B47,'EFF-E_ANTC'!$A$4:$A$47,0),MATCH(J$5,'EFF-E_ANTC'!$C$3:$H$3,0)),"")</f>
        <v>6.6777008175099004E-2</v>
      </c>
      <c r="K47" s="379">
        <f>IFERROR(INDEX('AFA-E_ANTC'!$J$5:$O$48,MATCH($B47,'AFA-E_ANTC'!$A$5:$A$48,0),MATCH(K$5,'AFA-E_ANTC'!$J$3:$O$3,0)),"")</f>
        <v>0.42532283795650333</v>
      </c>
      <c r="L47" s="379">
        <f>IFERROR(INDEX('AFA-E_ANTC'!$J$5:$O$48,MATCH($B47,'AFA-E_ANTC'!$A$5:$A$48,0),MATCH(L$5,'AFA-E_ANTC'!$J$3:$O$3,0)),"")</f>
        <v>0.33706878442068333</v>
      </c>
      <c r="M47" s="379">
        <f>IFERROR(INDEX('AFA-E_ANTC'!$J$5:$O$48,MATCH($B47,'AFA-E_ANTC'!$A$5:$A$48,0),MATCH(M$5,'AFA-E_ANTC'!$J$3:$O$3,0)),"")</f>
        <v>0.15171434294469499</v>
      </c>
      <c r="N47" s="379">
        <f>IFERROR(INDEX('AFA-E_ANTC'!$J$5:$O$48,MATCH($B47,'AFA-E_ANTC'!$A$5:$A$48,0),MATCH(N$5,'AFA-E_ANTC'!$J$3:$O$3,0)),"")</f>
        <v>6.6477490540613332E-2</v>
      </c>
      <c r="O47" s="379">
        <f>IFERROR(INDEX('AFA-E_ANTC'!$J$5:$O$48,MATCH($B47,'AFA-E_ANTC'!$A$5:$A$48,0),MATCH(O$5,'AFA-E_ANTC'!$J$3:$O$3,0)),"")</f>
        <v>2.8637041139474666E-2</v>
      </c>
      <c r="P47" s="379">
        <f>IFERROR(INDEX('AFA-E_ANTC'!$P$5:$P$48,MATCH($B47,'AFA-E_ANTC'!$A$5:$A$48,0)),"")</f>
        <v>0.06</v>
      </c>
      <c r="Q47" s="381">
        <f>IFERROR(INDEX('RESID-E_ANTC'!$M$5:$T$48,MATCH($B47,'RESID-E_ANTC'!$A$5:$A$48,0),MATCH(Q$5,'RESID-E_ANTC'!$M$3:$T$3,0)),"")</f>
        <v>25.1952522652347</v>
      </c>
      <c r="R47" s="381">
        <f>IFERROR(INDEX('RESID-E_ANTC'!$M$5:$T$48,MATCH($B47,'RESID-E_ANTC'!$A$5:$A$48,0),MATCH(R$5,'RESID-E_ANTC'!$M$3:$T$3,0)),"")</f>
        <v>23.083651962362801</v>
      </c>
      <c r="S47" s="381">
        <f>IFERROR(INDEX('RESID-E_ANTC'!$M$5:$T$48,MATCH($B47,'RESID-E_ANTC'!$A$5:$A$48,0),MATCH(S$5,'RESID-E_ANTC'!$M$3:$T$3,0)),"")</f>
        <v>15.5161252325553</v>
      </c>
      <c r="T47" s="381">
        <f>IFERROR(INDEX('RESID-E_ANTC'!$M$5:$T$48,MATCH($B47,'RESID-E_ANTC'!$A$5:$A$48,0),MATCH(T$5,'RESID-E_ANTC'!$M$3:$T$3,0)),"")</f>
        <v>0</v>
      </c>
      <c r="U47" s="381">
        <f>IFERROR(INDEX('RESID-E_ANTC'!$M$5:$T$48,MATCH($B47,'RESID-E_ANTC'!$A$5:$A$48,0),MATCH(U$5,'RESID-E_ANTC'!$M$3:$T$3,0)),"")</f>
        <v>0</v>
      </c>
      <c r="V47" s="231"/>
      <c r="W47" s="231"/>
    </row>
    <row r="48" spans="2:23" x14ac:dyDescent="0.25">
      <c r="B48" s="385" t="str">
        <f>IF(ITEMS_Tech_E!D48="","",ITEMS_Tech_E!D48)</f>
        <v>*</v>
      </c>
      <c r="C48" s="232" t="str">
        <f>IF(ITEMS_Tech_E!E48="","",ITEMS_Tech_E!E48)</f>
        <v>Heavy Commercial Vehicles</v>
      </c>
      <c r="D48" s="374"/>
      <c r="E48" s="374"/>
      <c r="F48" s="377">
        <f>IFERROR(INDEX('EFF-E_ANTC'!$C$4:$H$47,MATCH($B48,'EFF-E_ANTC'!$A$4:$A$47,0),MATCH(F$5,'EFF-E_ANTC'!$C$3:$H$3,0)),"")</f>
        <v>6.4348339348895098E-2</v>
      </c>
      <c r="G48" s="377">
        <f>IFERROR(INDEX('EFF-E_ANTC'!$C$4:$H$47,MATCH($B48,'EFF-E_ANTC'!$A$4:$A$47,0),MATCH(G$5,'EFF-E_ANTC'!$C$3:$H$3,0)),"")</f>
        <v>6.4532835825940396E-2</v>
      </c>
      <c r="H48" s="377">
        <f>IFERROR(INDEX('EFF-E_ANTC'!$C$4:$H$47,MATCH($B48,'EFF-E_ANTC'!$A$4:$A$47,0),MATCH(H$5,'EFF-E_ANTC'!$C$3:$H$3,0)),"")</f>
        <v>6.5227894002483106E-2</v>
      </c>
      <c r="I48" s="377">
        <f>IFERROR(INDEX('EFF-E_ANTC'!$C$4:$H$47,MATCH($B48,'EFF-E_ANTC'!$A$4:$A$47,0),MATCH(I$5,'EFF-E_ANTC'!$C$3:$H$3,0)),"")</f>
        <v>6.6011283101863896E-2</v>
      </c>
      <c r="J48" s="377">
        <f>IFERROR(INDEX('EFF-E_ANTC'!$C$4:$H$47,MATCH($B48,'EFF-E_ANTC'!$A$4:$A$47,0),MATCH(J$5,'EFF-E_ANTC'!$C$3:$H$3,0)),"")</f>
        <v>6.6777008175099004E-2</v>
      </c>
      <c r="K48" s="379">
        <f>IFERROR(INDEX('AFA-E_ANTC'!$J$5:$O$48,MATCH($B48,'AFA-E_ANTC'!$A$5:$A$48,0),MATCH(K$5,'AFA-E_ANTC'!$J$3:$O$3,0)),"")</f>
        <v>0.42532283795650333</v>
      </c>
      <c r="L48" s="379">
        <f>IFERROR(INDEX('AFA-E_ANTC'!$J$5:$O$48,MATCH($B48,'AFA-E_ANTC'!$A$5:$A$48,0),MATCH(L$5,'AFA-E_ANTC'!$J$3:$O$3,0)),"")</f>
        <v>0.33706878442068333</v>
      </c>
      <c r="M48" s="379">
        <f>IFERROR(INDEX('AFA-E_ANTC'!$J$5:$O$48,MATCH($B48,'AFA-E_ANTC'!$A$5:$A$48,0),MATCH(M$5,'AFA-E_ANTC'!$J$3:$O$3,0)),"")</f>
        <v>0.15171434294469499</v>
      </c>
      <c r="N48" s="379">
        <f>IFERROR(INDEX('AFA-E_ANTC'!$J$5:$O$48,MATCH($B48,'AFA-E_ANTC'!$A$5:$A$48,0),MATCH(N$5,'AFA-E_ANTC'!$J$3:$O$3,0)),"")</f>
        <v>6.6477490540613332E-2</v>
      </c>
      <c r="O48" s="379">
        <f>IFERROR(INDEX('AFA-E_ANTC'!$J$5:$O$48,MATCH($B48,'AFA-E_ANTC'!$A$5:$A$48,0),MATCH(O$5,'AFA-E_ANTC'!$J$3:$O$3,0)),"")</f>
        <v>2.8637041139474666E-2</v>
      </c>
      <c r="P48" s="379">
        <f>IFERROR(INDEX('AFA-E_ANTC'!$P$5:$P$48,MATCH($B48,'AFA-E_ANTC'!$A$5:$A$48,0)),"")</f>
        <v>0.06</v>
      </c>
      <c r="Q48" s="381">
        <f>IFERROR(INDEX('RESID-E_ANTC'!$M$5:$T$48,MATCH($B48,'RESID-E_ANTC'!$A$5:$A$48,0),MATCH(Q$5,'RESID-E_ANTC'!$M$3:$T$3,0)),"")</f>
        <v>25.1952522652347</v>
      </c>
      <c r="R48" s="381">
        <f>IFERROR(INDEX('RESID-E_ANTC'!$M$5:$T$48,MATCH($B48,'RESID-E_ANTC'!$A$5:$A$48,0),MATCH(R$5,'RESID-E_ANTC'!$M$3:$T$3,0)),"")</f>
        <v>23.083651962362801</v>
      </c>
      <c r="S48" s="381">
        <f>IFERROR(INDEX('RESID-E_ANTC'!$M$5:$T$48,MATCH($B48,'RESID-E_ANTC'!$A$5:$A$48,0),MATCH(S$5,'RESID-E_ANTC'!$M$3:$T$3,0)),"")</f>
        <v>15.5161252325553</v>
      </c>
      <c r="T48" s="381">
        <f>IFERROR(INDEX('RESID-E_ANTC'!$M$5:$T$48,MATCH($B48,'RESID-E_ANTC'!$A$5:$A$48,0),MATCH(T$5,'RESID-E_ANTC'!$M$3:$T$3,0)),"")</f>
        <v>0</v>
      </c>
      <c r="U48" s="381">
        <f>IFERROR(INDEX('RESID-E_ANTC'!$M$5:$T$48,MATCH($B48,'RESID-E_ANTC'!$A$5:$A$48,0),MATCH(U$5,'RESID-E_ANTC'!$M$3:$T$3,0)),"")</f>
        <v>0</v>
      </c>
      <c r="V48" s="231"/>
      <c r="W48" s="231"/>
    </row>
    <row r="49" spans="2:23" x14ac:dyDescent="0.25">
      <c r="B49" s="385" t="str">
        <f>IF(ITEMS_Tech_E!D49="","",ITEMS_Tech_E!D49)</f>
        <v>TFHCV1ODS-E</v>
      </c>
      <c r="C49" s="232" t="str">
        <f>IF(ITEMS_Tech_E!E49="","",ITEMS_Tech_E!E49)</f>
        <v>Transport Freight - HCV1 Oil Diesel-E</v>
      </c>
      <c r="D49" s="219" t="s">
        <v>411</v>
      </c>
      <c r="E49" s="219" t="s">
        <v>253</v>
      </c>
      <c r="F49" s="377">
        <f>IFERROR(INDEX('EFF-E_ANTC'!$C$4:$H$47,MATCH($B49,'EFF-E_ANTC'!$A$4:$A$47,0),MATCH(F$5,'EFF-E_ANTC'!$C$3:$H$3,0)),"")</f>
        <v>0.170324176066042</v>
      </c>
      <c r="G49" s="377">
        <f>IFERROR(INDEX('EFF-E_ANTC'!$C$4:$H$47,MATCH($B49,'EFF-E_ANTC'!$A$4:$A$47,0),MATCH(G$5,'EFF-E_ANTC'!$C$3:$H$3,0)),"")</f>
        <v>0.17019984843924499</v>
      </c>
      <c r="H49" s="377">
        <f>IFERROR(INDEX('EFF-E_ANTC'!$C$4:$H$47,MATCH($B49,'EFF-E_ANTC'!$A$4:$A$47,0),MATCH(H$5,'EFF-E_ANTC'!$C$3:$H$3,0)),"")</f>
        <v>0.17409813013726</v>
      </c>
      <c r="I49" s="377">
        <f>IFERROR(INDEX('EFF-E_ANTC'!$C$4:$H$47,MATCH($B49,'EFF-E_ANTC'!$A$4:$A$47,0),MATCH(I$5,'EFF-E_ANTC'!$C$3:$H$3,0)),"")</f>
        <v>0.17789366131389001</v>
      </c>
      <c r="J49" s="377">
        <f>IFERROR(INDEX('EFF-E_ANTC'!$C$4:$H$47,MATCH($B49,'EFF-E_ANTC'!$A$4:$A$47,0),MATCH(J$5,'EFF-E_ANTC'!$C$3:$H$3,0)),"")</f>
        <v>0.18082625096775001</v>
      </c>
      <c r="K49" s="379">
        <f>IFERROR(INDEX('AFA-E_ANTC'!$J$5:$O$48,MATCH($B49,'AFA-E_ANTC'!$A$5:$A$48,0),MATCH(K$5,'AFA-E_ANTC'!$J$3:$O$3,0)),"")</f>
        <v>0.52132555079955811</v>
      </c>
      <c r="L49" s="379">
        <f>IFERROR(INDEX('AFA-E_ANTC'!$J$5:$O$48,MATCH($B49,'AFA-E_ANTC'!$A$5:$A$48,0),MATCH(L$5,'AFA-E_ANTC'!$J$3:$O$3,0)),"")</f>
        <v>0.40159996318135815</v>
      </c>
      <c r="M49" s="379">
        <f>IFERROR(INDEX('AFA-E_ANTC'!$J$5:$O$48,MATCH($B49,'AFA-E_ANTC'!$A$5:$A$48,0),MATCH(M$5,'AFA-E_ANTC'!$J$3:$O$3,0)),"")</f>
        <v>0.19583030977494909</v>
      </c>
      <c r="N49" s="379">
        <f>IFERROR(INDEX('AFA-E_ANTC'!$J$5:$O$48,MATCH($B49,'AFA-E_ANTC'!$A$5:$A$48,0),MATCH(N$5,'AFA-E_ANTC'!$J$3:$O$3,0)),"")</f>
        <v>9.3886552828972181E-2</v>
      </c>
      <c r="O49" s="379">
        <f>IFERROR(INDEX('AFA-E_ANTC'!$J$5:$O$48,MATCH($B49,'AFA-E_ANTC'!$A$5:$A$48,0),MATCH(O$5,'AFA-E_ANTC'!$J$3:$O$3,0)),"")</f>
        <v>4.3288169440531814E-2</v>
      </c>
      <c r="P49" s="379">
        <f>IFERROR(INDEX('AFA-E_ANTC'!$P$5:$P$48,MATCH($B49,'AFA-E_ANTC'!$A$5:$A$48,0)),"")</f>
        <v>5.5E-2</v>
      </c>
      <c r="Q49" s="381">
        <f>IFERROR(INDEX('RESID-E_ANTC'!$M$5:$T$48,MATCH($B49,'RESID-E_ANTC'!$A$5:$A$48,0),MATCH(Q$5,'RESID-E_ANTC'!$M$3:$T$3,0)),"")</f>
        <v>126.227705550552</v>
      </c>
      <c r="R49" s="381">
        <f>IFERROR(INDEX('RESID-E_ANTC'!$M$5:$T$48,MATCH($B49,'RESID-E_ANTC'!$A$5:$A$48,0),MATCH(R$5,'RESID-E_ANTC'!$M$3:$T$3,0)),"")</f>
        <v>128.85669585561601</v>
      </c>
      <c r="S49" s="381">
        <f>IFERROR(INDEX('RESID-E_ANTC'!$M$5:$T$48,MATCH($B49,'RESID-E_ANTC'!$A$5:$A$48,0),MATCH(S$5,'RESID-E_ANTC'!$M$3:$T$3,0)),"")</f>
        <v>65.904742901988897</v>
      </c>
      <c r="T49" s="381">
        <f>IFERROR(INDEX('RESID-E_ANTC'!$M$5:$T$48,MATCH($B49,'RESID-E_ANTC'!$A$5:$A$48,0),MATCH(T$5,'RESID-E_ANTC'!$M$3:$T$3,0)),"")</f>
        <v>0</v>
      </c>
      <c r="U49" s="381">
        <f>IFERROR(INDEX('RESID-E_ANTC'!$M$5:$T$48,MATCH($B49,'RESID-E_ANTC'!$A$5:$A$48,0),MATCH(U$5,'RESID-E_ANTC'!$M$3:$T$3,0)),"")</f>
        <v>0</v>
      </c>
      <c r="V49" s="231">
        <v>3</v>
      </c>
      <c r="W49" s="231">
        <v>0</v>
      </c>
    </row>
    <row r="50" spans="2:23" x14ac:dyDescent="0.25">
      <c r="B50" s="385" t="str">
        <f>IF(ITEMS_Tech_E!D50="","",ITEMS_Tech_E!D50)</f>
        <v>TFHCV1OGS-E</v>
      </c>
      <c r="C50" s="232" t="str">
        <f>IF(ITEMS_Tech_E!E50="","",ITEMS_Tech_E!E50)</f>
        <v>Transport Freight - HCV1 Oil Gasoline-E</v>
      </c>
      <c r="D50" s="219" t="s">
        <v>413</v>
      </c>
      <c r="E50" s="219" t="s">
        <v>253</v>
      </c>
      <c r="F50" s="377">
        <f>IFERROR(INDEX('EFF-E_ANTC'!$C$4:$H$47,MATCH($B50,'EFF-E_ANTC'!$A$4:$A$47,0),MATCH(F$5,'EFF-E_ANTC'!$C$3:$H$3,0)),"")</f>
        <v>0.14896435210389899</v>
      </c>
      <c r="G50" s="377">
        <f>IFERROR(INDEX('EFF-E_ANTC'!$C$4:$H$47,MATCH($B50,'EFF-E_ANTC'!$A$4:$A$47,0),MATCH(G$5,'EFF-E_ANTC'!$C$3:$H$3,0)),"")</f>
        <v>0.152765483769921</v>
      </c>
      <c r="H50" s="377">
        <f>IFERROR(INDEX('EFF-E_ANTC'!$C$4:$H$47,MATCH($B50,'EFF-E_ANTC'!$A$4:$A$47,0),MATCH(H$5,'EFF-E_ANTC'!$C$3:$H$3,0)),"")</f>
        <v>0.16609404654853699</v>
      </c>
      <c r="I50" s="377">
        <f>IFERROR(INDEX('EFF-E_ANTC'!$C$4:$H$47,MATCH($B50,'EFF-E_ANTC'!$A$4:$A$47,0),MATCH(I$5,'EFF-E_ANTC'!$C$3:$H$3,0)),"")</f>
        <v>0.17211134514717899</v>
      </c>
      <c r="J50" s="377">
        <f>IFERROR(INDEX('EFF-E_ANTC'!$C$4:$H$47,MATCH($B50,'EFF-E_ANTC'!$A$4:$A$47,0),MATCH(J$5,'EFF-E_ANTC'!$C$3:$H$3,0)),"")</f>
        <v>0.173986340906439</v>
      </c>
      <c r="K50" s="379">
        <f>IFERROR(INDEX('AFA-E_ANTC'!$J$5:$O$48,MATCH($B50,'AFA-E_ANTC'!$A$5:$A$48,0),MATCH(K$5,'AFA-E_ANTC'!$J$3:$O$3,0)),"")</f>
        <v>0.28714519727711668</v>
      </c>
      <c r="L50" s="379">
        <f>IFERROR(INDEX('AFA-E_ANTC'!$J$5:$O$48,MATCH($B50,'AFA-E_ANTC'!$A$5:$A$48,0),MATCH(L$5,'AFA-E_ANTC'!$J$3:$O$3,0)),"")</f>
        <v>0.26658873343393336</v>
      </c>
      <c r="M50" s="379">
        <f>IFERROR(INDEX('AFA-E_ANTC'!$J$5:$O$48,MATCH($B50,'AFA-E_ANTC'!$A$5:$A$48,0),MATCH(M$5,'AFA-E_ANTC'!$J$3:$O$3,0)),"")</f>
        <v>0.21139702280495623</v>
      </c>
      <c r="N50" s="379">
        <f>IFERROR(INDEX('AFA-E_ANTC'!$J$5:$O$48,MATCH($B50,'AFA-E_ANTC'!$A$5:$A$48,0),MATCH(N$5,'AFA-E_ANTC'!$J$3:$O$3,0)),"")</f>
        <v>0.13721446538439605</v>
      </c>
      <c r="O50" s="379">
        <f>IFERROR(INDEX('AFA-E_ANTC'!$J$5:$O$48,MATCH($B50,'AFA-E_ANTC'!$A$5:$A$48,0),MATCH(O$5,'AFA-E_ANTC'!$J$3:$O$3,0)),"")</f>
        <v>7.793049325921042E-2</v>
      </c>
      <c r="P50" s="379">
        <f>IFERROR(INDEX('AFA-E_ANTC'!$P$5:$P$48,MATCH($B50,'AFA-E_ANTC'!$A$5:$A$48,0)),"")</f>
        <v>4.8000000000000001E-2</v>
      </c>
      <c r="Q50" s="381">
        <f>IFERROR(INDEX('RESID-E_ANTC'!$M$5:$T$48,MATCH($B50,'RESID-E_ANTC'!$A$5:$A$48,0),MATCH(Q$5,'RESID-E_ANTC'!$M$3:$T$3,0)),"")</f>
        <v>2.3335554859995198</v>
      </c>
      <c r="R50" s="381">
        <f>IFERROR(INDEX('RESID-E_ANTC'!$M$5:$T$48,MATCH($B50,'RESID-E_ANTC'!$A$5:$A$48,0),MATCH(R$5,'RESID-E_ANTC'!$M$3:$T$3,0)),"")</f>
        <v>1.87929418014928</v>
      </c>
      <c r="S50" s="381">
        <f>IFERROR(INDEX('RESID-E_ANTC'!$M$5:$T$48,MATCH($B50,'RESID-E_ANTC'!$A$5:$A$48,0),MATCH(S$5,'RESID-E_ANTC'!$M$3:$T$3,0)),"")</f>
        <v>0.35865569412206</v>
      </c>
      <c r="T50" s="381">
        <f>IFERROR(INDEX('RESID-E_ANTC'!$M$5:$T$48,MATCH($B50,'RESID-E_ANTC'!$A$5:$A$48,0),MATCH(T$5,'RESID-E_ANTC'!$M$3:$T$3,0)),"")</f>
        <v>0</v>
      </c>
      <c r="U50" s="381">
        <f>IFERROR(INDEX('RESID-E_ANTC'!$M$5:$T$48,MATCH($B50,'RESID-E_ANTC'!$A$5:$A$48,0),MATCH(U$5,'RESID-E_ANTC'!$M$3:$T$3,0)),"")</f>
        <v>0</v>
      </c>
      <c r="V50" s="231">
        <v>3</v>
      </c>
      <c r="W50" s="231">
        <v>0</v>
      </c>
    </row>
    <row r="51" spans="2:23" x14ac:dyDescent="0.25">
      <c r="B51" s="385" t="str">
        <f>IF(ITEMS_Tech_E!D51="","",ITEMS_Tech_E!D51)</f>
        <v>TFHCV2ODS-E</v>
      </c>
      <c r="C51" s="232" t="str">
        <f>IF(ITEMS_Tech_E!E51="","",ITEMS_Tech_E!E51)</f>
        <v>Transport Freight - HCV2 Oil Diesel-E</v>
      </c>
      <c r="D51" s="219" t="s">
        <v>411</v>
      </c>
      <c r="E51" s="219" t="s">
        <v>259</v>
      </c>
      <c r="F51" s="377">
        <f>IFERROR(INDEX('EFF-E_ANTC'!$C$4:$H$47,MATCH($B51,'EFF-E_ANTC'!$A$4:$A$47,0),MATCH(F$5,'EFF-E_ANTC'!$C$3:$H$3,0)),"")</f>
        <v>0.13643182834537301</v>
      </c>
      <c r="G51" s="377">
        <f>IFERROR(INDEX('EFF-E_ANTC'!$C$4:$H$47,MATCH($B51,'EFF-E_ANTC'!$A$4:$A$47,0),MATCH(G$5,'EFF-E_ANTC'!$C$3:$H$3,0)),"")</f>
        <v>0.136459139072411</v>
      </c>
      <c r="H51" s="377">
        <f>IFERROR(INDEX('EFF-E_ANTC'!$C$4:$H$47,MATCH($B51,'EFF-E_ANTC'!$A$4:$A$47,0),MATCH(H$5,'EFF-E_ANTC'!$C$3:$H$3,0)),"")</f>
        <v>0.14013799688852099</v>
      </c>
      <c r="I51" s="377">
        <f>IFERROR(INDEX('EFF-E_ANTC'!$C$4:$H$47,MATCH($B51,'EFF-E_ANTC'!$A$4:$A$47,0),MATCH(I$5,'EFF-E_ANTC'!$C$3:$H$3,0)),"")</f>
        <v>0.143519603118716</v>
      </c>
      <c r="J51" s="377">
        <f>IFERROR(INDEX('EFF-E_ANTC'!$C$4:$H$47,MATCH($B51,'EFF-E_ANTC'!$A$4:$A$47,0),MATCH(J$5,'EFF-E_ANTC'!$C$3:$H$3,0)),"")</f>
        <v>0.14596983768762201</v>
      </c>
      <c r="K51" s="379">
        <f>IFERROR(INDEX('AFA-E_ANTC'!$J$5:$O$48,MATCH($B51,'AFA-E_ANTC'!$A$5:$A$48,0),MATCH(K$5,'AFA-E_ANTC'!$J$3:$O$3,0)),"")</f>
        <v>0.61587499088696462</v>
      </c>
      <c r="L51" s="379">
        <f>IFERROR(INDEX('AFA-E_ANTC'!$J$5:$O$48,MATCH($B51,'AFA-E_ANTC'!$A$5:$A$48,0),MATCH(L$5,'AFA-E_ANTC'!$J$3:$O$3,0)),"")</f>
        <v>0.51036950900891664</v>
      </c>
      <c r="M51" s="379">
        <f>IFERROR(INDEX('AFA-E_ANTC'!$J$5:$O$48,MATCH($B51,'AFA-E_ANTC'!$A$5:$A$48,0),MATCH(M$5,'AFA-E_ANTC'!$J$3:$O$3,0)),"")</f>
        <v>0.30439437240066253</v>
      </c>
      <c r="N51" s="379">
        <f>IFERROR(INDEX('AFA-E_ANTC'!$J$5:$O$48,MATCH($B51,'AFA-E_ANTC'!$A$5:$A$48,0),MATCH(N$5,'AFA-E_ANTC'!$J$3:$O$3,0)),"")</f>
        <v>0.17798386054857626</v>
      </c>
      <c r="O51" s="379">
        <f>IFERROR(INDEX('AFA-E_ANTC'!$J$5:$O$48,MATCH($B51,'AFA-E_ANTC'!$A$5:$A$48,0),MATCH(O$5,'AFA-E_ANTC'!$J$3:$O$3,0)),"")</f>
        <v>0.10044967598579917</v>
      </c>
      <c r="P51" s="379">
        <f>IFERROR(INDEX('AFA-E_ANTC'!$P$5:$P$48,MATCH($B51,'AFA-E_ANTC'!$A$5:$A$48,0)),"")</f>
        <v>4.8000000000000001E-2</v>
      </c>
      <c r="Q51" s="381">
        <f>IFERROR(INDEX('RESID-E_ANTC'!$M$5:$T$48,MATCH($B51,'RESID-E_ANTC'!$A$5:$A$48,0),MATCH(Q$5,'RESID-E_ANTC'!$M$3:$T$3,0)),"")</f>
        <v>33.929342714939402</v>
      </c>
      <c r="R51" s="381">
        <f>IFERROR(INDEX('RESID-E_ANTC'!$M$5:$T$48,MATCH($B51,'RESID-E_ANTC'!$A$5:$A$48,0),MATCH(R$5,'RESID-E_ANTC'!$M$3:$T$3,0)),"")</f>
        <v>34.442063385055299</v>
      </c>
      <c r="S51" s="381">
        <f>IFERROR(INDEX('RESID-E_ANTC'!$M$5:$T$48,MATCH($B51,'RESID-E_ANTC'!$A$5:$A$48,0),MATCH(S$5,'RESID-E_ANTC'!$M$3:$T$3,0)),"")</f>
        <v>18.009652806729299</v>
      </c>
      <c r="T51" s="381">
        <f>IFERROR(INDEX('RESID-E_ANTC'!$M$5:$T$48,MATCH($B51,'RESID-E_ANTC'!$A$5:$A$48,0),MATCH(T$5,'RESID-E_ANTC'!$M$3:$T$3,0)),"")</f>
        <v>0</v>
      </c>
      <c r="U51" s="381">
        <f>IFERROR(INDEX('RESID-E_ANTC'!$M$5:$T$48,MATCH($B51,'RESID-E_ANTC'!$A$5:$A$48,0),MATCH(U$5,'RESID-E_ANTC'!$M$3:$T$3,0)),"")</f>
        <v>0</v>
      </c>
      <c r="V51" s="231">
        <v>3</v>
      </c>
      <c r="W51" s="231">
        <v>0</v>
      </c>
    </row>
    <row r="52" spans="2:23" x14ac:dyDescent="0.25">
      <c r="B52" s="385" t="str">
        <f>IF(ITEMS_Tech_E!D52="","",ITEMS_Tech_E!D52)</f>
        <v>TFHCV3ODS-E</v>
      </c>
      <c r="C52" s="232" t="str">
        <f>IF(ITEMS_Tech_E!E52="","",ITEMS_Tech_E!E52)</f>
        <v>Transport Freight - HCV3 Oil Diesel-E</v>
      </c>
      <c r="D52" s="219" t="s">
        <v>411</v>
      </c>
      <c r="E52" s="219" t="s">
        <v>261</v>
      </c>
      <c r="F52" s="377">
        <f>IFERROR(INDEX('EFF-E_ANTC'!$C$4:$H$47,MATCH($B52,'EFF-E_ANTC'!$A$4:$A$47,0),MATCH(F$5,'EFF-E_ANTC'!$C$3:$H$3,0)),"")</f>
        <v>0.119281768417066</v>
      </c>
      <c r="G52" s="377">
        <f>IFERROR(INDEX('EFF-E_ANTC'!$C$4:$H$47,MATCH($B52,'EFF-E_ANTC'!$A$4:$A$47,0),MATCH(G$5,'EFF-E_ANTC'!$C$3:$H$3,0)),"")</f>
        <v>0.11931868717182099</v>
      </c>
      <c r="H52" s="377">
        <f>IFERROR(INDEX('EFF-E_ANTC'!$C$4:$H$47,MATCH($B52,'EFF-E_ANTC'!$A$4:$A$47,0),MATCH(H$5,'EFF-E_ANTC'!$C$3:$H$3,0)),"")</f>
        <v>0.12232153623233299</v>
      </c>
      <c r="I52" s="377">
        <f>IFERROR(INDEX('EFF-E_ANTC'!$C$4:$H$47,MATCH($B52,'EFF-E_ANTC'!$A$4:$A$47,0),MATCH(I$5,'EFF-E_ANTC'!$C$3:$H$3,0)),"")</f>
        <v>0.12509253733459699</v>
      </c>
      <c r="J52" s="377">
        <f>IFERROR(INDEX('EFF-E_ANTC'!$C$4:$H$47,MATCH($B52,'EFF-E_ANTC'!$A$4:$A$47,0),MATCH(J$5,'EFF-E_ANTC'!$C$3:$H$3,0)),"")</f>
        <v>0.12724056107916601</v>
      </c>
      <c r="K52" s="379">
        <f>IFERROR(INDEX('AFA-E_ANTC'!$J$5:$O$48,MATCH($B52,'AFA-E_ANTC'!$A$5:$A$48,0),MATCH(K$5,'AFA-E_ANTC'!$J$3:$O$3,0)),"")</f>
        <v>0.61905509360465294</v>
      </c>
      <c r="L52" s="379">
        <f>IFERROR(INDEX('AFA-E_ANTC'!$J$5:$O$48,MATCH($B52,'AFA-E_ANTC'!$A$5:$A$48,0),MATCH(L$5,'AFA-E_ANTC'!$J$3:$O$3,0)),"")</f>
        <v>0.51314017761153419</v>
      </c>
      <c r="M52" s="379">
        <f>IFERROR(INDEX('AFA-E_ANTC'!$J$5:$O$48,MATCH($B52,'AFA-E_ANTC'!$A$5:$A$48,0),MATCH(M$5,'AFA-E_ANTC'!$J$3:$O$3,0)),"")</f>
        <v>0.30359332888790824</v>
      </c>
      <c r="N52" s="379">
        <f>IFERROR(INDEX('AFA-E_ANTC'!$J$5:$O$48,MATCH($B52,'AFA-E_ANTC'!$A$5:$A$48,0),MATCH(N$5,'AFA-E_ANTC'!$J$3:$O$3,0)),"")</f>
        <v>0.17608516721814588</v>
      </c>
      <c r="O52" s="379">
        <f>IFERROR(INDEX('AFA-E_ANTC'!$J$5:$O$48,MATCH($B52,'AFA-E_ANTC'!$A$5:$A$48,0),MATCH(O$5,'AFA-E_ANTC'!$J$3:$O$3,0)),"")</f>
        <v>9.9310384156559073E-2</v>
      </c>
      <c r="P52" s="379">
        <f>IFERROR(INDEX('AFA-E_ANTC'!$P$5:$P$48,MATCH($B52,'AFA-E_ANTC'!$A$5:$A$48,0)),"")</f>
        <v>8.4999999999999992E-2</v>
      </c>
      <c r="Q52" s="381">
        <f>IFERROR(INDEX('RESID-E_ANTC'!$M$5:$T$48,MATCH($B52,'RESID-E_ANTC'!$A$5:$A$48,0),MATCH(Q$5,'RESID-E_ANTC'!$M$3:$T$3,0)),"")</f>
        <v>62.7019053147121</v>
      </c>
      <c r="R52" s="381">
        <f>IFERROR(INDEX('RESID-E_ANTC'!$M$5:$T$48,MATCH($B52,'RESID-E_ANTC'!$A$5:$A$48,0),MATCH(R$5,'RESID-E_ANTC'!$M$3:$T$3,0)),"")</f>
        <v>63.616850519339202</v>
      </c>
      <c r="S52" s="381">
        <f>IFERROR(INDEX('RESID-E_ANTC'!$M$5:$T$48,MATCH($B52,'RESID-E_ANTC'!$A$5:$A$48,0),MATCH(S$5,'RESID-E_ANTC'!$M$3:$T$3,0)),"")</f>
        <v>33.590395028435502</v>
      </c>
      <c r="T52" s="381">
        <f>IFERROR(INDEX('RESID-E_ANTC'!$M$5:$T$48,MATCH($B52,'RESID-E_ANTC'!$A$5:$A$48,0),MATCH(T$5,'RESID-E_ANTC'!$M$3:$T$3,0)),"")</f>
        <v>0</v>
      </c>
      <c r="U52" s="381">
        <f>IFERROR(INDEX('RESID-E_ANTC'!$M$5:$T$48,MATCH($B52,'RESID-E_ANTC'!$A$5:$A$48,0),MATCH(U$5,'RESID-E_ANTC'!$M$3:$T$3,0)),"")</f>
        <v>0</v>
      </c>
      <c r="V52" s="231">
        <v>3</v>
      </c>
      <c r="W52" s="231">
        <v>0</v>
      </c>
    </row>
    <row r="53" spans="2:23" x14ac:dyDescent="0.25">
      <c r="B53" s="385" t="str">
        <f>IF(ITEMS_Tech_E!D53="","",ITEMS_Tech_E!D53)</f>
        <v>TFHCV4ODS-E</v>
      </c>
      <c r="C53" s="232" t="str">
        <f>IF(ITEMS_Tech_E!E53="","",ITEMS_Tech_E!E53)</f>
        <v>Transport Freight - HCV4 Oil Diesel-E</v>
      </c>
      <c r="D53" s="219" t="s">
        <v>411</v>
      </c>
      <c r="E53" s="219" t="s">
        <v>263</v>
      </c>
      <c r="F53" s="377">
        <f>IFERROR(INDEX('EFF-E_ANTC'!$C$4:$H$47,MATCH($B53,'EFF-E_ANTC'!$A$4:$A$47,0),MATCH(F$5,'EFF-E_ANTC'!$C$3:$H$3,0)),"")</f>
        <v>0.102511485821615</v>
      </c>
      <c r="G53" s="377">
        <f>IFERROR(INDEX('EFF-E_ANTC'!$C$4:$H$47,MATCH($B53,'EFF-E_ANTC'!$A$4:$A$47,0),MATCH(G$5,'EFF-E_ANTC'!$C$3:$H$3,0)),"")</f>
        <v>0.10254809996583</v>
      </c>
      <c r="H53" s="377">
        <f>IFERROR(INDEX('EFF-E_ANTC'!$C$4:$H$47,MATCH($B53,'EFF-E_ANTC'!$A$4:$A$47,0),MATCH(H$5,'EFF-E_ANTC'!$C$3:$H$3,0)),"")</f>
        <v>0.105418203184048</v>
      </c>
      <c r="I53" s="377">
        <f>IFERROR(INDEX('EFF-E_ANTC'!$C$4:$H$47,MATCH($B53,'EFF-E_ANTC'!$A$4:$A$47,0),MATCH(I$5,'EFF-E_ANTC'!$C$3:$H$3,0)),"")</f>
        <v>0.108304805407653</v>
      </c>
      <c r="J53" s="377">
        <f>IFERROR(INDEX('EFF-E_ANTC'!$C$4:$H$47,MATCH($B53,'EFF-E_ANTC'!$A$4:$A$47,0),MATCH(J$5,'EFF-E_ANTC'!$C$3:$H$3,0)),"")</f>
        <v>0.110554573148034</v>
      </c>
      <c r="K53" s="379">
        <f>IFERROR(INDEX('AFA-E_ANTC'!$J$5:$O$48,MATCH($B53,'AFA-E_ANTC'!$A$5:$A$48,0),MATCH(K$5,'AFA-E_ANTC'!$J$3:$O$3,0)),"")</f>
        <v>0.58392433243894237</v>
      </c>
      <c r="L53" s="379">
        <f>IFERROR(INDEX('AFA-E_ANTC'!$J$5:$O$48,MATCH($B53,'AFA-E_ANTC'!$A$5:$A$48,0),MATCH(L$5,'AFA-E_ANTC'!$J$3:$O$3,0)),"")</f>
        <v>0.48445079931167884</v>
      </c>
      <c r="M53" s="379">
        <f>IFERROR(INDEX('AFA-E_ANTC'!$J$5:$O$48,MATCH($B53,'AFA-E_ANTC'!$A$5:$A$48,0),MATCH(M$5,'AFA-E_ANTC'!$J$3:$O$3,0)),"")</f>
        <v>0.28918714533314122</v>
      </c>
      <c r="N53" s="379">
        <f>IFERROR(INDEX('AFA-E_ANTC'!$J$5:$O$48,MATCH($B53,'AFA-E_ANTC'!$A$5:$A$48,0),MATCH(N$5,'AFA-E_ANTC'!$J$3:$O$3,0)),"")</f>
        <v>0.17123597116851411</v>
      </c>
      <c r="O53" s="379">
        <f>IFERROR(INDEX('AFA-E_ANTC'!$J$5:$O$48,MATCH($B53,'AFA-E_ANTC'!$A$5:$A$48,0),MATCH(O$5,'AFA-E_ANTC'!$J$3:$O$3,0)),"")</f>
        <v>9.8290097907955287E-2</v>
      </c>
      <c r="P53" s="379">
        <f>IFERROR(INDEX('AFA-E_ANTC'!$P$5:$P$48,MATCH($B53,'AFA-E_ANTC'!$A$5:$A$48,0)),"")</f>
        <v>8.4999999999999992E-2</v>
      </c>
      <c r="Q53" s="381">
        <f>IFERROR(INDEX('RESID-E_ANTC'!$M$5:$T$48,MATCH($B53,'RESID-E_ANTC'!$A$5:$A$48,0),MATCH(Q$5,'RESID-E_ANTC'!$M$3:$T$3,0)),"")</f>
        <v>12.056497449546701</v>
      </c>
      <c r="R53" s="381">
        <f>IFERROR(INDEX('RESID-E_ANTC'!$M$5:$T$48,MATCH($B53,'RESID-E_ANTC'!$A$5:$A$48,0),MATCH(R$5,'RESID-E_ANTC'!$M$3:$T$3,0)),"")</f>
        <v>12.2894367454119</v>
      </c>
      <c r="S53" s="381">
        <f>IFERROR(INDEX('RESID-E_ANTC'!$M$5:$T$48,MATCH($B53,'RESID-E_ANTC'!$A$5:$A$48,0),MATCH(S$5,'RESID-E_ANTC'!$M$3:$T$3,0)),"")</f>
        <v>6.0737110439854698</v>
      </c>
      <c r="T53" s="381">
        <f>IFERROR(INDEX('RESID-E_ANTC'!$M$5:$T$48,MATCH($B53,'RESID-E_ANTC'!$A$5:$A$48,0),MATCH(T$5,'RESID-E_ANTC'!$M$3:$T$3,0)),"")</f>
        <v>0</v>
      </c>
      <c r="U53" s="381">
        <f>IFERROR(INDEX('RESID-E_ANTC'!$M$5:$T$48,MATCH($B53,'RESID-E_ANTC'!$A$5:$A$48,0),MATCH(U$5,'RESID-E_ANTC'!$M$3:$T$3,0)),"")</f>
        <v>0</v>
      </c>
      <c r="V53" s="231">
        <v>3</v>
      </c>
      <c r="W53" s="231">
        <v>0</v>
      </c>
    </row>
    <row r="54" spans="2:23" x14ac:dyDescent="0.25">
      <c r="B54" s="385" t="str">
        <f>IF(ITEMS_Tech_E!D54="","",ITEMS_Tech_E!D54)</f>
        <v>TFHCV5ODS-E</v>
      </c>
      <c r="C54" s="232" t="str">
        <f>IF(ITEMS_Tech_E!E54="","",ITEMS_Tech_E!E54)</f>
        <v>Transport Freight - HCV5 Oil Diesel-E</v>
      </c>
      <c r="D54" s="219" t="s">
        <v>411</v>
      </c>
      <c r="E54" s="219" t="s">
        <v>265</v>
      </c>
      <c r="F54" s="377">
        <f>IFERROR(INDEX('EFF-E_ANTC'!$C$4:$H$47,MATCH($B54,'EFF-E_ANTC'!$A$4:$A$47,0),MATCH(F$5,'EFF-E_ANTC'!$C$3:$H$3,0)),"")</f>
        <v>9.4439576839910805E-2</v>
      </c>
      <c r="G54" s="377">
        <f>IFERROR(INDEX('EFF-E_ANTC'!$C$4:$H$47,MATCH($B54,'EFF-E_ANTC'!$A$4:$A$47,0),MATCH(G$5,'EFF-E_ANTC'!$C$3:$H$3,0)),"")</f>
        <v>9.4370120075289193E-2</v>
      </c>
      <c r="H54" s="377">
        <f>IFERROR(INDEX('EFF-E_ANTC'!$C$4:$H$47,MATCH($B54,'EFF-E_ANTC'!$A$4:$A$47,0),MATCH(H$5,'EFF-E_ANTC'!$C$3:$H$3,0)),"")</f>
        <v>9.6441406801161797E-2</v>
      </c>
      <c r="I54" s="377">
        <f>IFERROR(INDEX('EFF-E_ANTC'!$C$4:$H$47,MATCH($B54,'EFF-E_ANTC'!$A$4:$A$47,0),MATCH(I$5,'EFF-E_ANTC'!$C$3:$H$3,0)),"")</f>
        <v>9.8419663807944702E-2</v>
      </c>
      <c r="J54" s="377">
        <f>IFERROR(INDEX('EFF-E_ANTC'!$C$4:$H$47,MATCH($B54,'EFF-E_ANTC'!$A$4:$A$47,0),MATCH(J$5,'EFF-E_ANTC'!$C$3:$H$3,0)),"")</f>
        <v>9.9889600984333304E-2</v>
      </c>
      <c r="K54" s="379">
        <f>IFERROR(INDEX('AFA-E_ANTC'!$J$5:$O$48,MATCH($B54,'AFA-E_ANTC'!$A$5:$A$48,0),MATCH(K$5,'AFA-E_ANTC'!$J$3:$O$3,0)),"")</f>
        <v>0.49666887732492726</v>
      </c>
      <c r="L54" s="379">
        <f>IFERROR(INDEX('AFA-E_ANTC'!$J$5:$O$48,MATCH($B54,'AFA-E_ANTC'!$A$5:$A$48,0),MATCH(L$5,'AFA-E_ANTC'!$J$3:$O$3,0)),"")</f>
        <v>0.37311307638456365</v>
      </c>
      <c r="M54" s="379">
        <f>IFERROR(INDEX('AFA-E_ANTC'!$J$5:$O$48,MATCH($B54,'AFA-E_ANTC'!$A$5:$A$48,0),MATCH(M$5,'AFA-E_ANTC'!$J$3:$O$3,0)),"")</f>
        <v>0.16868898482817002</v>
      </c>
      <c r="N54" s="379">
        <f>IFERROR(INDEX('AFA-E_ANTC'!$J$5:$O$48,MATCH($B54,'AFA-E_ANTC'!$A$5:$A$48,0),MATCH(N$5,'AFA-E_ANTC'!$J$3:$O$3,0)),"")</f>
        <v>7.4466556660093372E-2</v>
      </c>
      <c r="O54" s="379">
        <f>IFERROR(INDEX('AFA-E_ANTC'!$J$5:$O$48,MATCH($B54,'AFA-E_ANTC'!$A$5:$A$48,0),MATCH(O$5,'AFA-E_ANTC'!$J$3:$O$3,0)),"")</f>
        <v>3.1359007692890725E-2</v>
      </c>
      <c r="P54" s="379">
        <f>IFERROR(INDEX('AFA-E_ANTC'!$P$5:$P$48,MATCH($B54,'AFA-E_ANTC'!$A$5:$A$48,0)),"")</f>
        <v>0.11</v>
      </c>
      <c r="Q54" s="381">
        <f>IFERROR(INDEX('RESID-E_ANTC'!$M$5:$T$48,MATCH($B54,'RESID-E_ANTC'!$A$5:$A$48,0),MATCH(Q$5,'RESID-E_ANTC'!$M$3:$T$3,0)),"")</f>
        <v>5.4543032895166199</v>
      </c>
      <c r="R54" s="381">
        <f>IFERROR(INDEX('RESID-E_ANTC'!$M$5:$T$48,MATCH($B54,'RESID-E_ANTC'!$A$5:$A$48,0),MATCH(R$5,'RESID-E_ANTC'!$M$3:$T$3,0)),"")</f>
        <v>5.5364181807125403</v>
      </c>
      <c r="S54" s="381">
        <f>IFERROR(INDEX('RESID-E_ANTC'!$M$5:$T$48,MATCH($B54,'RESID-E_ANTC'!$A$5:$A$48,0),MATCH(S$5,'RESID-E_ANTC'!$M$3:$T$3,0)),"")</f>
        <v>2.8461230389806702</v>
      </c>
      <c r="T54" s="381">
        <f>IFERROR(INDEX('RESID-E_ANTC'!$M$5:$T$48,MATCH($B54,'RESID-E_ANTC'!$A$5:$A$48,0),MATCH(T$5,'RESID-E_ANTC'!$M$3:$T$3,0)),"")</f>
        <v>0</v>
      </c>
      <c r="U54" s="381">
        <f>IFERROR(INDEX('RESID-E_ANTC'!$M$5:$T$48,MATCH($B54,'RESID-E_ANTC'!$A$5:$A$48,0),MATCH(U$5,'RESID-E_ANTC'!$M$3:$T$3,0)),"")</f>
        <v>0</v>
      </c>
      <c r="V54" s="231">
        <v>3</v>
      </c>
      <c r="W54" s="231">
        <v>0</v>
      </c>
    </row>
    <row r="55" spans="2:23" x14ac:dyDescent="0.25">
      <c r="B55" s="385" t="str">
        <f>IF(ITEMS_Tech_E!D55="","",ITEMS_Tech_E!D55)</f>
        <v>TFHCV6ODS-E</v>
      </c>
      <c r="C55" s="232" t="str">
        <f>IF(ITEMS_Tech_E!E55="","",ITEMS_Tech_E!E55)</f>
        <v>Transport Freight - HCV6 Oil Diesel-E</v>
      </c>
      <c r="D55" s="219" t="s">
        <v>411</v>
      </c>
      <c r="E55" s="219" t="s">
        <v>267</v>
      </c>
      <c r="F55" s="377">
        <f>IFERROR(INDEX('EFF-E_ANTC'!$C$4:$H$47,MATCH($B55,'EFF-E_ANTC'!$A$4:$A$47,0),MATCH(F$5,'EFF-E_ANTC'!$C$3:$H$3,0)),"")</f>
        <v>6.5140074152247901E-2</v>
      </c>
      <c r="G55" s="377">
        <f>IFERROR(INDEX('EFF-E_ANTC'!$C$4:$H$47,MATCH($B55,'EFF-E_ANTC'!$A$4:$A$47,0),MATCH(G$5,'EFF-E_ANTC'!$C$3:$H$3,0)),"")</f>
        <v>6.5086835525467304E-2</v>
      </c>
      <c r="H55" s="377">
        <f>IFERROR(INDEX('EFF-E_ANTC'!$C$4:$H$47,MATCH($B55,'EFF-E_ANTC'!$A$4:$A$47,0),MATCH(H$5,'EFF-E_ANTC'!$C$3:$H$3,0)),"")</f>
        <v>6.6124396909204006E-2</v>
      </c>
      <c r="I55" s="377">
        <f>IFERROR(INDEX('EFF-E_ANTC'!$C$4:$H$47,MATCH($B55,'EFF-E_ANTC'!$A$4:$A$47,0),MATCH(I$5,'EFF-E_ANTC'!$C$3:$H$3,0)),"")</f>
        <v>6.7166260047415702E-2</v>
      </c>
      <c r="J55" s="377">
        <f>IFERROR(INDEX('EFF-E_ANTC'!$C$4:$H$47,MATCH($B55,'EFF-E_ANTC'!$A$4:$A$47,0),MATCH(J$5,'EFF-E_ANTC'!$C$3:$H$3,0)),"")</f>
        <v>6.8012622129019304E-2</v>
      </c>
      <c r="K55" s="379">
        <f>IFERROR(INDEX('AFA-E_ANTC'!$J$5:$O$48,MATCH($B55,'AFA-E_ANTC'!$A$5:$A$48,0),MATCH(K$5,'AFA-E_ANTC'!$J$3:$O$3,0)),"")</f>
        <v>0.57071749864109456</v>
      </c>
      <c r="L55" s="379">
        <f>IFERROR(INDEX('AFA-E_ANTC'!$J$5:$O$48,MATCH($B55,'AFA-E_ANTC'!$A$5:$A$48,0),MATCH(L$5,'AFA-E_ANTC'!$J$3:$O$3,0)),"")</f>
        <v>0.42687257745772184</v>
      </c>
      <c r="M55" s="379">
        <f>IFERROR(INDEX('AFA-E_ANTC'!$J$5:$O$48,MATCH($B55,'AFA-E_ANTC'!$A$5:$A$48,0),MATCH(M$5,'AFA-E_ANTC'!$J$3:$O$3,0)),"")</f>
        <v>0.18441407223283274</v>
      </c>
      <c r="N55" s="379">
        <f>IFERROR(INDEX('AFA-E_ANTC'!$J$5:$O$48,MATCH($B55,'AFA-E_ANTC'!$A$5:$A$48,0),MATCH(N$5,'AFA-E_ANTC'!$J$3:$O$3,0)),"")</f>
        <v>7.847209305148109E-2</v>
      </c>
      <c r="O55" s="379">
        <f>IFERROR(INDEX('AFA-E_ANTC'!$J$5:$O$48,MATCH($B55,'AFA-E_ANTC'!$A$5:$A$48,0),MATCH(O$5,'AFA-E_ANTC'!$J$3:$O$3,0)),"")</f>
        <v>3.245534059134618E-2</v>
      </c>
      <c r="P55" s="379">
        <f>IFERROR(INDEX('AFA-E_ANTC'!$P$5:$P$48,MATCH($B55,'AFA-E_ANTC'!$A$5:$A$48,0)),"")</f>
        <v>0.11</v>
      </c>
      <c r="Q55" s="381">
        <f>IFERROR(INDEX('RESID-E_ANTC'!$M$5:$T$48,MATCH($B55,'RESID-E_ANTC'!$A$5:$A$48,0),MATCH(Q$5,'RESID-E_ANTC'!$M$3:$T$3,0)),"")</f>
        <v>106.12140587784999</v>
      </c>
      <c r="R55" s="381">
        <f>IFERROR(INDEX('RESID-E_ANTC'!$M$5:$T$48,MATCH($B55,'RESID-E_ANTC'!$A$5:$A$48,0),MATCH(R$5,'RESID-E_ANTC'!$M$3:$T$3,0)),"")</f>
        <v>107.749502594289</v>
      </c>
      <c r="S55" s="381">
        <f>IFERROR(INDEX('RESID-E_ANTC'!$M$5:$T$48,MATCH($B55,'RESID-E_ANTC'!$A$5:$A$48,0),MATCH(S$5,'RESID-E_ANTC'!$M$3:$T$3,0)),"")</f>
        <v>61.863142535247199</v>
      </c>
      <c r="T55" s="381">
        <f>IFERROR(INDEX('RESID-E_ANTC'!$M$5:$T$48,MATCH($B55,'RESID-E_ANTC'!$A$5:$A$48,0),MATCH(T$5,'RESID-E_ANTC'!$M$3:$T$3,0)),"")</f>
        <v>0</v>
      </c>
      <c r="U55" s="381">
        <f>IFERROR(INDEX('RESID-E_ANTC'!$M$5:$T$48,MATCH($B55,'RESID-E_ANTC'!$A$5:$A$48,0),MATCH(U$5,'RESID-E_ANTC'!$M$3:$T$3,0)),"")</f>
        <v>0</v>
      </c>
      <c r="V55" s="231">
        <v>3</v>
      </c>
      <c r="W55" s="231">
        <v>0</v>
      </c>
    </row>
    <row r="56" spans="2:23" x14ac:dyDescent="0.25">
      <c r="B56" s="385" t="str">
        <f>IF(ITEMS_Tech_E!D56="","",ITEMS_Tech_E!D56)</f>
        <v>TFHCV7ODS-E</v>
      </c>
      <c r="C56" s="232" t="str">
        <f>IF(ITEMS_Tech_E!E56="","",ITEMS_Tech_E!E56)</f>
        <v>Transport Freight - HCV7 Oil Diesel-E</v>
      </c>
      <c r="D56" s="219" t="s">
        <v>411</v>
      </c>
      <c r="E56" s="219" t="s">
        <v>270</v>
      </c>
      <c r="F56" s="377">
        <f>IFERROR(INDEX('EFF-E_ANTC'!$C$4:$H$47,MATCH($B56,'EFF-E_ANTC'!$A$4:$A$47,0),MATCH(F$5,'EFF-E_ANTC'!$C$3:$H$3,0)),"")</f>
        <v>7.0317841528990704E-2</v>
      </c>
      <c r="G56" s="377">
        <f>IFERROR(INDEX('EFF-E_ANTC'!$C$4:$H$47,MATCH($B56,'EFF-E_ANTC'!$A$4:$A$47,0),MATCH(G$5,'EFF-E_ANTC'!$C$3:$H$3,0)),"")</f>
        <v>7.0234604805822207E-2</v>
      </c>
      <c r="H56" s="377">
        <f>IFERROR(INDEX('EFF-E_ANTC'!$C$4:$H$47,MATCH($B56,'EFF-E_ANTC'!$A$4:$A$47,0),MATCH(H$5,'EFF-E_ANTC'!$C$3:$H$3,0)),"")</f>
        <v>7.1524983519216004E-2</v>
      </c>
      <c r="I56" s="377">
        <f>IFERROR(INDEX('EFF-E_ANTC'!$C$4:$H$47,MATCH($B56,'EFF-E_ANTC'!$A$4:$A$47,0),MATCH(I$5,'EFF-E_ANTC'!$C$3:$H$3,0)),"")</f>
        <v>7.2864914411162496E-2</v>
      </c>
      <c r="J56" s="377">
        <f>IFERROR(INDEX('EFF-E_ANTC'!$C$4:$H$47,MATCH($B56,'EFF-E_ANTC'!$A$4:$A$47,0),MATCH(J$5,'EFF-E_ANTC'!$C$3:$H$3,0)),"")</f>
        <v>7.39190120279309E-2</v>
      </c>
      <c r="K56" s="379">
        <f>IFERROR(INDEX('AFA-E_ANTC'!$J$5:$O$48,MATCH($B56,'AFA-E_ANTC'!$A$5:$A$48,0),MATCH(K$5,'AFA-E_ANTC'!$J$3:$O$3,0)),"")</f>
        <v>0.5377339456060668</v>
      </c>
      <c r="L56" s="379">
        <f>IFERROR(INDEX('AFA-E_ANTC'!$J$5:$O$48,MATCH($B56,'AFA-E_ANTC'!$A$5:$A$48,0),MATCH(L$5,'AFA-E_ANTC'!$J$3:$O$3,0)),"")</f>
        <v>0.40097131317651941</v>
      </c>
      <c r="M56" s="379">
        <f>IFERROR(INDEX('AFA-E_ANTC'!$J$5:$O$48,MATCH($B56,'AFA-E_ANTC'!$A$5:$A$48,0),MATCH(M$5,'AFA-E_ANTC'!$J$3:$O$3,0)),"")</f>
        <v>0.17515402018271126</v>
      </c>
      <c r="N56" s="379">
        <f>IFERROR(INDEX('AFA-E_ANTC'!$J$5:$O$48,MATCH($B56,'AFA-E_ANTC'!$A$5:$A$48,0),MATCH(N$5,'AFA-E_ANTC'!$J$3:$O$3,0)),"")</f>
        <v>7.6221070320468751E-2</v>
      </c>
      <c r="O56" s="379">
        <f>IFERROR(INDEX('AFA-E_ANTC'!$J$5:$O$48,MATCH($B56,'AFA-E_ANTC'!$A$5:$A$48,0),MATCH(O$5,'AFA-E_ANTC'!$J$3:$O$3,0)),"")</f>
        <v>3.2008878592661688E-2</v>
      </c>
      <c r="P56" s="379">
        <f>IFERROR(INDEX('AFA-E_ANTC'!$P$5:$P$48,MATCH($B56,'AFA-E_ANTC'!$A$5:$A$48,0)),"")</f>
        <v>0.16</v>
      </c>
      <c r="Q56" s="381">
        <f>IFERROR(INDEX('RESID-E_ANTC'!$M$5:$T$48,MATCH($B56,'RESID-E_ANTC'!$A$5:$A$48,0),MATCH(Q$5,'RESID-E_ANTC'!$M$3:$T$3,0)),"")</f>
        <v>25.874280497520701</v>
      </c>
      <c r="R56" s="381">
        <f>IFERROR(INDEX('RESID-E_ANTC'!$M$5:$T$48,MATCH($B56,'RESID-E_ANTC'!$A$5:$A$48,0),MATCH(R$5,'RESID-E_ANTC'!$M$3:$T$3,0)),"")</f>
        <v>26.4741570116765</v>
      </c>
      <c r="S56" s="381">
        <f>IFERROR(INDEX('RESID-E_ANTC'!$M$5:$T$48,MATCH($B56,'RESID-E_ANTC'!$A$5:$A$48,0),MATCH(S$5,'RESID-E_ANTC'!$M$3:$T$3,0)),"")</f>
        <v>14.5024186740093</v>
      </c>
      <c r="T56" s="381">
        <f>IFERROR(INDEX('RESID-E_ANTC'!$M$5:$T$48,MATCH($B56,'RESID-E_ANTC'!$A$5:$A$48,0),MATCH(T$5,'RESID-E_ANTC'!$M$3:$T$3,0)),"")</f>
        <v>0</v>
      </c>
      <c r="U56" s="381">
        <f>IFERROR(INDEX('RESID-E_ANTC'!$M$5:$T$48,MATCH($B56,'RESID-E_ANTC'!$A$5:$A$48,0),MATCH(U$5,'RESID-E_ANTC'!$M$3:$T$3,0)),"")</f>
        <v>0</v>
      </c>
      <c r="V56" s="231">
        <v>3</v>
      </c>
      <c r="W56" s="231">
        <v>0</v>
      </c>
    </row>
    <row r="57" spans="2:23" x14ac:dyDescent="0.25">
      <c r="B57" s="385" t="str">
        <f>IF(ITEMS_Tech_E!D57="","",ITEMS_Tech_E!D57)</f>
        <v>TFHCV8ODS-E</v>
      </c>
      <c r="C57" s="232" t="str">
        <f>IF(ITEMS_Tech_E!E57="","",ITEMS_Tech_E!E57)</f>
        <v>Transport Freight - HCV8 Oil Diesel-E</v>
      </c>
      <c r="D57" s="219" t="s">
        <v>411</v>
      </c>
      <c r="E57" s="219" t="s">
        <v>272</v>
      </c>
      <c r="F57" s="377">
        <f>IFERROR(INDEX('EFF-E_ANTC'!$C$4:$H$47,MATCH($B57,'EFF-E_ANTC'!$A$4:$A$47,0),MATCH(F$5,'EFF-E_ANTC'!$C$3:$H$3,0)),"")</f>
        <v>6.9193607941341495E-2</v>
      </c>
      <c r="G57" s="377">
        <f>IFERROR(INDEX('EFF-E_ANTC'!$C$4:$H$47,MATCH($B57,'EFF-E_ANTC'!$A$4:$A$47,0),MATCH(G$5,'EFF-E_ANTC'!$C$3:$H$3,0)),"")</f>
        <v>6.9134613553873694E-2</v>
      </c>
      <c r="H57" s="377">
        <f>IFERROR(INDEX('EFF-E_ANTC'!$C$4:$H$47,MATCH($B57,'EFF-E_ANTC'!$A$4:$A$47,0),MATCH(H$5,'EFF-E_ANTC'!$C$3:$H$3,0)),"")</f>
        <v>6.9756638806478602E-2</v>
      </c>
      <c r="I57" s="377">
        <f>IFERROR(INDEX('EFF-E_ANTC'!$C$4:$H$47,MATCH($B57,'EFF-E_ANTC'!$A$4:$A$47,0),MATCH(I$5,'EFF-E_ANTC'!$C$3:$H$3,0)),"")</f>
        <v>7.0539322337285895E-2</v>
      </c>
      <c r="J57" s="377">
        <f>IFERROR(INDEX('EFF-E_ANTC'!$C$4:$H$47,MATCH($B57,'EFF-E_ANTC'!$A$4:$A$47,0),MATCH(J$5,'EFF-E_ANTC'!$C$3:$H$3,0)),"")</f>
        <v>7.1239826934415704E-2</v>
      </c>
      <c r="K57" s="379">
        <f>IFERROR(INDEX('AFA-E_ANTC'!$J$5:$O$48,MATCH($B57,'AFA-E_ANTC'!$A$5:$A$48,0),MATCH(K$5,'AFA-E_ANTC'!$J$3:$O$3,0)),"")</f>
        <v>0.67700715609301876</v>
      </c>
      <c r="L57" s="379">
        <f>IFERROR(INDEX('AFA-E_ANTC'!$J$5:$O$48,MATCH($B57,'AFA-E_ANTC'!$A$5:$A$48,0),MATCH(L$5,'AFA-E_ANTC'!$J$3:$O$3,0)),"")</f>
        <v>0.50325549202134368</v>
      </c>
      <c r="M57" s="379">
        <f>IFERROR(INDEX('AFA-E_ANTC'!$J$5:$O$48,MATCH($B57,'AFA-E_ANTC'!$A$5:$A$48,0),MATCH(M$5,'AFA-E_ANTC'!$J$3:$O$3,0)),"")</f>
        <v>0.20297641470000749</v>
      </c>
      <c r="N57" s="379">
        <f>IFERROR(INDEX('AFA-E_ANTC'!$J$5:$O$48,MATCH($B57,'AFA-E_ANTC'!$A$5:$A$48,0),MATCH(N$5,'AFA-E_ANTC'!$J$3:$O$3,0)),"")</f>
        <v>8.2989891398502505E-2</v>
      </c>
      <c r="O57" s="379">
        <f>IFERROR(INDEX('AFA-E_ANTC'!$J$5:$O$48,MATCH($B57,'AFA-E_ANTC'!$A$5:$A$48,0),MATCH(O$5,'AFA-E_ANTC'!$J$3:$O$3,0)),"")</f>
        <v>3.3595291432656688E-2</v>
      </c>
      <c r="P57" s="379">
        <f>IFERROR(INDEX('AFA-E_ANTC'!$P$5:$P$48,MATCH($B57,'AFA-E_ANTC'!$A$5:$A$48,0)),"")</f>
        <v>0.16</v>
      </c>
      <c r="Q57" s="381">
        <f>IFERROR(INDEX('RESID-E_ANTC'!$M$5:$T$48,MATCH($B57,'RESID-E_ANTC'!$A$5:$A$48,0),MATCH(Q$5,'RESID-E_ANTC'!$M$3:$T$3,0)),"")</f>
        <v>1.1282532037320601</v>
      </c>
      <c r="R57" s="381">
        <f>IFERROR(INDEX('RESID-E_ANTC'!$M$5:$T$48,MATCH($B57,'RESID-E_ANTC'!$A$5:$A$48,0),MATCH(R$5,'RESID-E_ANTC'!$M$3:$T$3,0)),"")</f>
        <v>1.1464635873024001</v>
      </c>
      <c r="S57" s="381">
        <f>IFERROR(INDEX('RESID-E_ANTC'!$M$5:$T$48,MATCH($B57,'RESID-E_ANTC'!$A$5:$A$48,0),MATCH(S$5,'RESID-E_ANTC'!$M$3:$T$3,0)),"")</f>
        <v>0.75373569008702301</v>
      </c>
      <c r="T57" s="381">
        <f>IFERROR(INDEX('RESID-E_ANTC'!$M$5:$T$48,MATCH($B57,'RESID-E_ANTC'!$A$5:$A$48,0),MATCH(T$5,'RESID-E_ANTC'!$M$3:$T$3,0)),"")</f>
        <v>0</v>
      </c>
      <c r="U57" s="381">
        <f>IFERROR(INDEX('RESID-E_ANTC'!$M$5:$T$48,MATCH($B57,'RESID-E_ANTC'!$A$5:$A$48,0),MATCH(U$5,'RESID-E_ANTC'!$M$3:$T$3,0)),"")</f>
        <v>0</v>
      </c>
      <c r="V57" s="231">
        <v>3</v>
      </c>
      <c r="W57" s="231">
        <v>0</v>
      </c>
    </row>
    <row r="58" spans="2:23" x14ac:dyDescent="0.25">
      <c r="B58" s="385" t="str">
        <f>IF(ITEMS_Tech_E!D58="","",ITEMS_Tech_E!D58)</f>
        <v>TFHCV9ODS-E</v>
      </c>
      <c r="C58" s="232" t="str">
        <f>IF(ITEMS_Tech_E!E58="","",ITEMS_Tech_E!E58)</f>
        <v>Transport Freight - HCV9 Oil Diesel-E</v>
      </c>
      <c r="D58" s="219" t="s">
        <v>411</v>
      </c>
      <c r="E58" s="219" t="s">
        <v>274</v>
      </c>
      <c r="F58" s="377">
        <f>IFERROR(INDEX('EFF-E_ANTC'!$C$4:$H$47,MATCH($B58,'EFF-E_ANTC'!$A$4:$A$47,0),MATCH(F$5,'EFF-E_ANTC'!$C$3:$H$3,0)),"")</f>
        <v>5.4371364101907703E-2</v>
      </c>
      <c r="G58" s="377">
        <f>IFERROR(INDEX('EFF-E_ANTC'!$C$4:$H$47,MATCH($B58,'EFF-E_ANTC'!$A$4:$A$47,0),MATCH(G$5,'EFF-E_ANTC'!$C$3:$H$3,0)),"")</f>
        <v>5.4374543331148002E-2</v>
      </c>
      <c r="H58" s="377">
        <f>IFERROR(INDEX('EFF-E_ANTC'!$C$4:$H$47,MATCH($B58,'EFF-E_ANTC'!$A$4:$A$47,0),MATCH(H$5,'EFF-E_ANTC'!$C$3:$H$3,0)),"")</f>
        <v>5.4895435674524602E-2</v>
      </c>
      <c r="I58" s="377">
        <f>IFERROR(INDEX('EFF-E_ANTC'!$C$4:$H$47,MATCH($B58,'EFF-E_ANTC'!$A$4:$A$47,0),MATCH(I$5,'EFF-E_ANTC'!$C$3:$H$3,0)),"")</f>
        <v>5.5820318048132901E-2</v>
      </c>
      <c r="J58" s="377">
        <f>IFERROR(INDEX('EFF-E_ANTC'!$C$4:$H$47,MATCH($B58,'EFF-E_ANTC'!$A$4:$A$47,0),MATCH(J$5,'EFF-E_ANTC'!$C$3:$H$3,0)),"")</f>
        <v>5.7192352651667E-2</v>
      </c>
      <c r="K58" s="379">
        <f>IFERROR(INDEX('AFA-E_ANTC'!$J$5:$O$48,MATCH($B58,'AFA-E_ANTC'!$A$5:$A$48,0),MATCH(K$5,'AFA-E_ANTC'!$J$3:$O$3,0)),"")</f>
        <v>0.3854073688786</v>
      </c>
      <c r="L58" s="379">
        <f>IFERROR(INDEX('AFA-E_ANTC'!$J$5:$O$48,MATCH($B58,'AFA-E_ANTC'!$A$5:$A$48,0),MATCH(L$5,'AFA-E_ANTC'!$J$3:$O$3,0)),"")</f>
        <v>0.29044833906206613</v>
      </c>
      <c r="M58" s="379">
        <f>IFERROR(INDEX('AFA-E_ANTC'!$J$5:$O$48,MATCH($B58,'AFA-E_ANTC'!$A$5:$A$48,0),MATCH(M$5,'AFA-E_ANTC'!$J$3:$O$3,0)),"")</f>
        <v>0.11637498864141833</v>
      </c>
      <c r="N58" s="379">
        <f>IFERROR(INDEX('AFA-E_ANTC'!$J$5:$O$48,MATCH($B58,'AFA-E_ANTC'!$A$5:$A$48,0),MATCH(N$5,'AFA-E_ANTC'!$J$3:$O$3,0)),"")</f>
        <v>4.8355376514288277E-2</v>
      </c>
      <c r="O58" s="379">
        <f>IFERROR(INDEX('AFA-E_ANTC'!$J$5:$O$48,MATCH($B58,'AFA-E_ANTC'!$A$5:$A$48,0),MATCH(O$5,'AFA-E_ANTC'!$J$3:$O$3,0)),"")</f>
        <v>2.1275930948661221E-2</v>
      </c>
      <c r="P58" s="379">
        <f>IFERROR(INDEX('AFA-E_ANTC'!$P$5:$P$48,MATCH($B58,'AFA-E_ANTC'!$A$5:$A$48,0)),"")</f>
        <v>0.18</v>
      </c>
      <c r="Q58" s="381">
        <f>IFERROR(INDEX('RESID-E_ANTC'!$M$5:$T$48,MATCH($B58,'RESID-E_ANTC'!$A$5:$A$48,0),MATCH(Q$5,'RESID-E_ANTC'!$M$3:$T$3,0)),"")</f>
        <v>0.42396796687300597</v>
      </c>
      <c r="R58" s="381">
        <f>IFERROR(INDEX('RESID-E_ANTC'!$M$5:$T$48,MATCH($B58,'RESID-E_ANTC'!$A$5:$A$48,0),MATCH(R$5,'RESID-E_ANTC'!$M$3:$T$3,0)),"")</f>
        <v>0.44340231551193199</v>
      </c>
      <c r="S58" s="381">
        <f>IFERROR(INDEX('RESID-E_ANTC'!$M$5:$T$48,MATCH($B58,'RESID-E_ANTC'!$A$5:$A$48,0),MATCH(S$5,'RESID-E_ANTC'!$M$3:$T$3,0)),"")</f>
        <v>0.19789597907123299</v>
      </c>
      <c r="T58" s="381">
        <f>IFERROR(INDEX('RESID-E_ANTC'!$M$5:$T$48,MATCH($B58,'RESID-E_ANTC'!$A$5:$A$48,0),MATCH(T$5,'RESID-E_ANTC'!$M$3:$T$3,0)),"")</f>
        <v>0</v>
      </c>
      <c r="U58" s="381">
        <f>IFERROR(INDEX('RESID-E_ANTC'!$M$5:$T$48,MATCH($B58,'RESID-E_ANTC'!$A$5:$A$48,0),MATCH(U$5,'RESID-E_ANTC'!$M$3:$T$3,0)),"")</f>
        <v>0</v>
      </c>
      <c r="V58" s="231">
        <v>3</v>
      </c>
      <c r="W58" s="231">
        <v>0</v>
      </c>
    </row>
    <row r="59" spans="2:23" x14ac:dyDescent="0.25">
      <c r="B59" s="385" t="str">
        <f>IF(ITEMS_Tech_E!D59="","",ITEMS_Tech_E!D59)</f>
        <v>TFHCV1GAS-E</v>
      </c>
      <c r="C59" s="232" t="str">
        <f>IF(ITEMS_Tech_E!E59="","",ITEMS_Tech_E!E59)</f>
        <v>Transport Freight - HCV1 Gas-E</v>
      </c>
      <c r="D59" s="219" t="s">
        <v>563</v>
      </c>
      <c r="E59" s="219" t="s">
        <v>253</v>
      </c>
      <c r="F59" s="377">
        <f>IFERROR(INDEX('EFF-E_ANTC'!$C$4:$H$47,MATCH($B59,'EFF-E_ANTC'!$A$4:$A$47,0),MATCH(F$5,'EFF-E_ANTC'!$C$3:$H$3,0)),"")</f>
        <v>0.15980018435060239</v>
      </c>
      <c r="G59" s="377">
        <f>IFERROR(INDEX('EFF-E_ANTC'!$C$4:$H$47,MATCH($B59,'EFF-E_ANTC'!$A$4:$A$47,0),MATCH(G$5,'EFF-E_ANTC'!$C$3:$H$3,0)),"")</f>
        <v>0.15980018435060239</v>
      </c>
      <c r="H59" s="377">
        <f>IFERROR(INDEX('EFF-E_ANTC'!$C$4:$H$47,MATCH($B59,'EFF-E_ANTC'!$A$4:$A$47,0),MATCH(H$5,'EFF-E_ANTC'!$C$3:$H$3,0)),"")</f>
        <v>0.15980018435060239</v>
      </c>
      <c r="I59" s="377">
        <f>IFERROR(INDEX('EFF-E_ANTC'!$C$4:$H$47,MATCH($B59,'EFF-E_ANTC'!$A$4:$A$47,0),MATCH(I$5,'EFF-E_ANTC'!$C$3:$H$3,0)),"")</f>
        <v>0.15980018435060239</v>
      </c>
      <c r="J59" s="377">
        <f>IFERROR(INDEX('EFF-E_ANTC'!$C$4:$H$47,MATCH($B59,'EFF-E_ANTC'!$A$4:$A$47,0),MATCH(J$5,'EFF-E_ANTC'!$C$3:$H$3,0)),"")</f>
        <v>0.15980018435060239</v>
      </c>
      <c r="K59" s="379">
        <f>IFERROR(INDEX('AFA-E_ANTC'!$J$5:$O$48,MATCH($B59,'AFA-E_ANTC'!$A$5:$A$48,0),MATCH(K$5,'AFA-E_ANTC'!$J$3:$O$3,0)),"")</f>
        <v>0</v>
      </c>
      <c r="L59" s="379">
        <f>IFERROR(INDEX('AFA-E_ANTC'!$J$5:$O$48,MATCH($B59,'AFA-E_ANTC'!$A$5:$A$48,0),MATCH(L$5,'AFA-E_ANTC'!$J$3:$O$3,0)),"")</f>
        <v>0.74830699328737704</v>
      </c>
      <c r="M59" s="379">
        <f>IFERROR(INDEX('AFA-E_ANTC'!$J$5:$O$48,MATCH($B59,'AFA-E_ANTC'!$A$5:$A$48,0),MATCH(M$5,'AFA-E_ANTC'!$J$3:$O$3,0)),"")</f>
        <v>0.5933854311374448</v>
      </c>
      <c r="N59" s="379">
        <f>IFERROR(INDEX('AFA-E_ANTC'!$J$5:$O$48,MATCH($B59,'AFA-E_ANTC'!$A$5:$A$48,0),MATCH(N$5,'AFA-E_ANTC'!$J$3:$O$3,0)),"")</f>
        <v>0.3851571021202902</v>
      </c>
      <c r="O59" s="379">
        <f>IFERROR(INDEX('AFA-E_ANTC'!$J$5:$O$48,MATCH($B59,'AFA-E_ANTC'!$A$5:$A$48,0),MATCH(O$5,'AFA-E_ANTC'!$J$3:$O$3,0)),"")</f>
        <v>0.21874867832947617</v>
      </c>
      <c r="P59" s="379">
        <f>IFERROR(INDEX('AFA-E_ANTC'!$P$5:$P$48,MATCH($B59,'AFA-E_ANTC'!$A$5:$A$48,0)),"")</f>
        <v>1.71002801251579E-2</v>
      </c>
      <c r="Q59" s="381">
        <f>IFERROR(INDEX('RESID-E_ANTC'!$M$5:$T$48,MATCH($B59,'RESID-E_ANTC'!$A$5:$A$48,0),MATCH(Q$5,'RESID-E_ANTC'!$M$3:$T$3,0)),"")</f>
        <v>0.116677774299976</v>
      </c>
      <c r="R59" s="381">
        <f>IFERROR(INDEX('RESID-E_ANTC'!$M$5:$T$48,MATCH($B59,'RESID-E_ANTC'!$A$5:$A$48,0),MATCH(R$5,'RESID-E_ANTC'!$M$3:$T$3,0)),"")</f>
        <v>9.3964709007464009E-2</v>
      </c>
      <c r="S59" s="381">
        <f>IFERROR(INDEX('RESID-E_ANTC'!$M$5:$T$48,MATCH($B59,'RESID-E_ANTC'!$A$5:$A$48,0),MATCH(S$5,'RESID-E_ANTC'!$M$3:$T$3,0)),"")</f>
        <v>1.7932784706102999E-2</v>
      </c>
      <c r="T59" s="381">
        <f>IFERROR(INDEX('RESID-E_ANTC'!$M$5:$T$48,MATCH($B59,'RESID-E_ANTC'!$A$5:$A$48,0),MATCH(T$5,'RESID-E_ANTC'!$M$3:$T$3,0)),"")</f>
        <v>0</v>
      </c>
      <c r="U59" s="381">
        <f>IFERROR(INDEX('RESID-E_ANTC'!$M$5:$T$48,MATCH($B59,'RESID-E_ANTC'!$A$5:$A$48,0),MATCH(U$5,'RESID-E_ANTC'!$M$3:$T$3,0)),"")</f>
        <v>0</v>
      </c>
      <c r="V59" s="231">
        <v>3</v>
      </c>
      <c r="W59" s="231">
        <v>0</v>
      </c>
    </row>
    <row r="60" spans="2:23" x14ac:dyDescent="0.25">
      <c r="B60" s="385" t="str">
        <f>IF(ITEMS_Tech_E!D60="","",ITEMS_Tech_E!D60)</f>
        <v>*</v>
      </c>
      <c r="C60" s="232" t="str">
        <f>IF(ITEMS_Tech_E!E60="","",ITEMS_Tech_E!E60)</f>
        <v/>
      </c>
      <c r="D60" s="374"/>
      <c r="E60" s="374"/>
      <c r="F60" s="377">
        <f>IFERROR(INDEX('EFF-E_ANTC'!$C$4:$H$47,MATCH($B60,'EFF-E_ANTC'!$A$4:$A$47,0),MATCH(F$5,'EFF-E_ANTC'!$C$3:$H$3,0)),"")</f>
        <v>6.4348339348895098E-2</v>
      </c>
      <c r="G60" s="377">
        <f>IFERROR(INDEX('EFF-E_ANTC'!$C$4:$H$47,MATCH($B60,'EFF-E_ANTC'!$A$4:$A$47,0),MATCH(G$5,'EFF-E_ANTC'!$C$3:$H$3,0)),"")</f>
        <v>6.4532835825940396E-2</v>
      </c>
      <c r="H60" s="377">
        <f>IFERROR(INDEX('EFF-E_ANTC'!$C$4:$H$47,MATCH($B60,'EFF-E_ANTC'!$A$4:$A$47,0),MATCH(H$5,'EFF-E_ANTC'!$C$3:$H$3,0)),"")</f>
        <v>6.5227894002483106E-2</v>
      </c>
      <c r="I60" s="377">
        <f>IFERROR(INDEX('EFF-E_ANTC'!$C$4:$H$47,MATCH($B60,'EFF-E_ANTC'!$A$4:$A$47,0),MATCH(I$5,'EFF-E_ANTC'!$C$3:$H$3,0)),"")</f>
        <v>6.6011283101863896E-2</v>
      </c>
      <c r="J60" s="377">
        <f>IFERROR(INDEX('EFF-E_ANTC'!$C$4:$H$47,MATCH($B60,'EFF-E_ANTC'!$A$4:$A$47,0),MATCH(J$5,'EFF-E_ANTC'!$C$3:$H$3,0)),"")</f>
        <v>6.6777008175099004E-2</v>
      </c>
      <c r="K60" s="379">
        <f>IFERROR(INDEX('AFA-E_ANTC'!$J$5:$O$48,MATCH($B60,'AFA-E_ANTC'!$A$5:$A$48,0),MATCH(K$5,'AFA-E_ANTC'!$J$3:$O$3,0)),"")</f>
        <v>0.42532283795650333</v>
      </c>
      <c r="L60" s="379">
        <f>IFERROR(INDEX('AFA-E_ANTC'!$J$5:$O$48,MATCH($B60,'AFA-E_ANTC'!$A$5:$A$48,0),MATCH(L$5,'AFA-E_ANTC'!$J$3:$O$3,0)),"")</f>
        <v>0.33706878442068333</v>
      </c>
      <c r="M60" s="379">
        <f>IFERROR(INDEX('AFA-E_ANTC'!$J$5:$O$48,MATCH($B60,'AFA-E_ANTC'!$A$5:$A$48,0),MATCH(M$5,'AFA-E_ANTC'!$J$3:$O$3,0)),"")</f>
        <v>0.15171434294469499</v>
      </c>
      <c r="N60" s="379">
        <f>IFERROR(INDEX('AFA-E_ANTC'!$J$5:$O$48,MATCH($B60,'AFA-E_ANTC'!$A$5:$A$48,0),MATCH(N$5,'AFA-E_ANTC'!$J$3:$O$3,0)),"")</f>
        <v>6.6477490540613332E-2</v>
      </c>
      <c r="O60" s="379">
        <f>IFERROR(INDEX('AFA-E_ANTC'!$J$5:$O$48,MATCH($B60,'AFA-E_ANTC'!$A$5:$A$48,0),MATCH(O$5,'AFA-E_ANTC'!$J$3:$O$3,0)),"")</f>
        <v>2.8637041139474666E-2</v>
      </c>
      <c r="P60" s="379">
        <f>IFERROR(INDEX('AFA-E_ANTC'!$P$5:$P$48,MATCH($B60,'AFA-E_ANTC'!$A$5:$A$48,0)),"")</f>
        <v>0.06</v>
      </c>
      <c r="Q60" s="381">
        <f>IFERROR(INDEX('RESID-E_ANTC'!$M$5:$T$48,MATCH($B60,'RESID-E_ANTC'!$A$5:$A$48,0),MATCH(Q$5,'RESID-E_ANTC'!$M$3:$T$3,0)),"")</f>
        <v>25.1952522652347</v>
      </c>
      <c r="R60" s="381">
        <f>IFERROR(INDEX('RESID-E_ANTC'!$M$5:$T$48,MATCH($B60,'RESID-E_ANTC'!$A$5:$A$48,0),MATCH(R$5,'RESID-E_ANTC'!$M$3:$T$3,0)),"")</f>
        <v>23.083651962362801</v>
      </c>
      <c r="S60" s="381">
        <f>IFERROR(INDEX('RESID-E_ANTC'!$M$5:$T$48,MATCH($B60,'RESID-E_ANTC'!$A$5:$A$48,0),MATCH(S$5,'RESID-E_ANTC'!$M$3:$T$3,0)),"")</f>
        <v>15.5161252325553</v>
      </c>
      <c r="T60" s="381">
        <f>IFERROR(INDEX('RESID-E_ANTC'!$M$5:$T$48,MATCH($B60,'RESID-E_ANTC'!$A$5:$A$48,0),MATCH(T$5,'RESID-E_ANTC'!$M$3:$T$3,0)),"")</f>
        <v>0</v>
      </c>
      <c r="U60" s="381">
        <f>IFERROR(INDEX('RESID-E_ANTC'!$M$5:$T$48,MATCH($B60,'RESID-E_ANTC'!$A$5:$A$48,0),MATCH(U$5,'RESID-E_ANTC'!$M$3:$T$3,0)),"")</f>
        <v>0</v>
      </c>
      <c r="V60" s="231"/>
      <c r="W60" s="231"/>
    </row>
    <row r="61" spans="2:23" x14ac:dyDescent="0.25">
      <c r="B61" s="385" t="str">
        <f>IF(ITEMS_Tech_E!D61="","",ITEMS_Tech_E!D61)</f>
        <v>*</v>
      </c>
      <c r="C61" s="232" t="str">
        <f>IF(ITEMS_Tech_E!E61="","",ITEMS_Tech_E!E61)</f>
        <v/>
      </c>
      <c r="D61" s="374"/>
      <c r="E61" s="374"/>
      <c r="F61" s="377">
        <f>IFERROR(INDEX('EFF-E_ANTC'!$C$4:$H$47,MATCH($B61,'EFF-E_ANTC'!$A$4:$A$47,0),MATCH(F$5,'EFF-E_ANTC'!$C$3:$H$3,0)),"")</f>
        <v>6.4348339348895098E-2</v>
      </c>
      <c r="G61" s="377">
        <f>IFERROR(INDEX('EFF-E_ANTC'!$C$4:$H$47,MATCH($B61,'EFF-E_ANTC'!$A$4:$A$47,0),MATCH(G$5,'EFF-E_ANTC'!$C$3:$H$3,0)),"")</f>
        <v>6.4532835825940396E-2</v>
      </c>
      <c r="H61" s="377">
        <f>IFERROR(INDEX('EFF-E_ANTC'!$C$4:$H$47,MATCH($B61,'EFF-E_ANTC'!$A$4:$A$47,0),MATCH(H$5,'EFF-E_ANTC'!$C$3:$H$3,0)),"")</f>
        <v>6.5227894002483106E-2</v>
      </c>
      <c r="I61" s="377">
        <f>IFERROR(INDEX('EFF-E_ANTC'!$C$4:$H$47,MATCH($B61,'EFF-E_ANTC'!$A$4:$A$47,0),MATCH(I$5,'EFF-E_ANTC'!$C$3:$H$3,0)),"")</f>
        <v>6.6011283101863896E-2</v>
      </c>
      <c r="J61" s="377">
        <f>IFERROR(INDEX('EFF-E_ANTC'!$C$4:$H$47,MATCH($B61,'EFF-E_ANTC'!$A$4:$A$47,0),MATCH(J$5,'EFF-E_ANTC'!$C$3:$H$3,0)),"")</f>
        <v>6.6777008175099004E-2</v>
      </c>
      <c r="K61" s="379">
        <f>IFERROR(INDEX('AFA-E_ANTC'!$J$5:$O$48,MATCH($B61,'AFA-E_ANTC'!$A$5:$A$48,0),MATCH(K$5,'AFA-E_ANTC'!$J$3:$O$3,0)),"")</f>
        <v>0.42532283795650333</v>
      </c>
      <c r="L61" s="379">
        <f>IFERROR(INDEX('AFA-E_ANTC'!$J$5:$O$48,MATCH($B61,'AFA-E_ANTC'!$A$5:$A$48,0),MATCH(L$5,'AFA-E_ANTC'!$J$3:$O$3,0)),"")</f>
        <v>0.33706878442068333</v>
      </c>
      <c r="M61" s="379">
        <f>IFERROR(INDEX('AFA-E_ANTC'!$J$5:$O$48,MATCH($B61,'AFA-E_ANTC'!$A$5:$A$48,0),MATCH(M$5,'AFA-E_ANTC'!$J$3:$O$3,0)),"")</f>
        <v>0.15171434294469499</v>
      </c>
      <c r="N61" s="379">
        <f>IFERROR(INDEX('AFA-E_ANTC'!$J$5:$O$48,MATCH($B61,'AFA-E_ANTC'!$A$5:$A$48,0),MATCH(N$5,'AFA-E_ANTC'!$J$3:$O$3,0)),"")</f>
        <v>6.6477490540613332E-2</v>
      </c>
      <c r="O61" s="379">
        <f>IFERROR(INDEX('AFA-E_ANTC'!$J$5:$O$48,MATCH($B61,'AFA-E_ANTC'!$A$5:$A$48,0),MATCH(O$5,'AFA-E_ANTC'!$J$3:$O$3,0)),"")</f>
        <v>2.8637041139474666E-2</v>
      </c>
      <c r="P61" s="379">
        <f>IFERROR(INDEX('AFA-E_ANTC'!$P$5:$P$48,MATCH($B61,'AFA-E_ANTC'!$A$5:$A$48,0)),"")</f>
        <v>0.06</v>
      </c>
      <c r="Q61" s="381">
        <f>IFERROR(INDEX('RESID-E_ANTC'!$M$5:$T$48,MATCH($B61,'RESID-E_ANTC'!$A$5:$A$48,0),MATCH(Q$5,'RESID-E_ANTC'!$M$3:$T$3,0)),"")</f>
        <v>25.1952522652347</v>
      </c>
      <c r="R61" s="381">
        <f>IFERROR(INDEX('RESID-E_ANTC'!$M$5:$T$48,MATCH($B61,'RESID-E_ANTC'!$A$5:$A$48,0),MATCH(R$5,'RESID-E_ANTC'!$M$3:$T$3,0)),"")</f>
        <v>23.083651962362801</v>
      </c>
      <c r="S61" s="381">
        <f>IFERROR(INDEX('RESID-E_ANTC'!$M$5:$T$48,MATCH($B61,'RESID-E_ANTC'!$A$5:$A$48,0),MATCH(S$5,'RESID-E_ANTC'!$M$3:$T$3,0)),"")</f>
        <v>15.5161252325553</v>
      </c>
      <c r="T61" s="381">
        <f>IFERROR(INDEX('RESID-E_ANTC'!$M$5:$T$48,MATCH($B61,'RESID-E_ANTC'!$A$5:$A$48,0),MATCH(T$5,'RESID-E_ANTC'!$M$3:$T$3,0)),"")</f>
        <v>0</v>
      </c>
      <c r="U61" s="381">
        <f>IFERROR(INDEX('RESID-E_ANTC'!$M$5:$T$48,MATCH($B61,'RESID-E_ANTC'!$A$5:$A$48,0),MATCH(U$5,'RESID-E_ANTC'!$M$3:$T$3,0)),"")</f>
        <v>0</v>
      </c>
      <c r="V61" s="231"/>
      <c r="W61" s="231"/>
    </row>
    <row r="62" spans="2:23" x14ac:dyDescent="0.25">
      <c r="B62" s="385" t="str">
        <f>IF(ITEMS_Tech_E!D62="","",ITEMS_Tech_E!D62)</f>
        <v>*</v>
      </c>
      <c r="C62" s="232" t="str">
        <f>IF(ITEMS_Tech_E!E62="","",ITEMS_Tech_E!E62)</f>
        <v>Freight Rail</v>
      </c>
      <c r="D62" s="374"/>
      <c r="E62" s="374"/>
      <c r="F62" s="377">
        <f>IFERROR(INDEX('EFF-E_ANTC'!$C$4:$H$47,MATCH($B62,'EFF-E_ANTC'!$A$4:$A$47,0),MATCH(F$5,'EFF-E_ANTC'!$C$3:$H$3,0)),"")</f>
        <v>6.4348339348895098E-2</v>
      </c>
      <c r="G62" s="377">
        <f>IFERROR(INDEX('EFF-E_ANTC'!$C$4:$H$47,MATCH($B62,'EFF-E_ANTC'!$A$4:$A$47,0),MATCH(G$5,'EFF-E_ANTC'!$C$3:$H$3,0)),"")</f>
        <v>6.4532835825940396E-2</v>
      </c>
      <c r="H62" s="377">
        <f>IFERROR(INDEX('EFF-E_ANTC'!$C$4:$H$47,MATCH($B62,'EFF-E_ANTC'!$A$4:$A$47,0),MATCH(H$5,'EFF-E_ANTC'!$C$3:$H$3,0)),"")</f>
        <v>6.5227894002483106E-2</v>
      </c>
      <c r="I62" s="377">
        <f>IFERROR(INDEX('EFF-E_ANTC'!$C$4:$H$47,MATCH($B62,'EFF-E_ANTC'!$A$4:$A$47,0),MATCH(I$5,'EFF-E_ANTC'!$C$3:$H$3,0)),"")</f>
        <v>6.6011283101863896E-2</v>
      </c>
      <c r="J62" s="377">
        <f>IFERROR(INDEX('EFF-E_ANTC'!$C$4:$H$47,MATCH($B62,'EFF-E_ANTC'!$A$4:$A$47,0),MATCH(J$5,'EFF-E_ANTC'!$C$3:$H$3,0)),"")</f>
        <v>6.6777008175099004E-2</v>
      </c>
      <c r="K62" s="379">
        <f>IFERROR(INDEX('AFA-E_ANTC'!$J$5:$O$48,MATCH($B62,'AFA-E_ANTC'!$A$5:$A$48,0),MATCH(K$5,'AFA-E_ANTC'!$J$3:$O$3,0)),"")</f>
        <v>0.42532283795650333</v>
      </c>
      <c r="L62" s="379">
        <f>IFERROR(INDEX('AFA-E_ANTC'!$J$5:$O$48,MATCH($B62,'AFA-E_ANTC'!$A$5:$A$48,0),MATCH(L$5,'AFA-E_ANTC'!$J$3:$O$3,0)),"")</f>
        <v>0.33706878442068333</v>
      </c>
      <c r="M62" s="379">
        <f>IFERROR(INDEX('AFA-E_ANTC'!$J$5:$O$48,MATCH($B62,'AFA-E_ANTC'!$A$5:$A$48,0),MATCH(M$5,'AFA-E_ANTC'!$J$3:$O$3,0)),"")</f>
        <v>0.15171434294469499</v>
      </c>
      <c r="N62" s="379">
        <f>IFERROR(INDEX('AFA-E_ANTC'!$J$5:$O$48,MATCH($B62,'AFA-E_ANTC'!$A$5:$A$48,0),MATCH(N$5,'AFA-E_ANTC'!$J$3:$O$3,0)),"")</f>
        <v>6.6477490540613332E-2</v>
      </c>
      <c r="O62" s="379">
        <f>IFERROR(INDEX('AFA-E_ANTC'!$J$5:$O$48,MATCH($B62,'AFA-E_ANTC'!$A$5:$A$48,0),MATCH(O$5,'AFA-E_ANTC'!$J$3:$O$3,0)),"")</f>
        <v>2.8637041139474666E-2</v>
      </c>
      <c r="P62" s="379">
        <f>IFERROR(INDEX('AFA-E_ANTC'!$P$5:$P$48,MATCH($B62,'AFA-E_ANTC'!$A$5:$A$48,0)),"")</f>
        <v>0.06</v>
      </c>
      <c r="Q62" s="381">
        <f>IFERROR(INDEX('RESID-E_ANTC'!$M$5:$T$48,MATCH($B62,'RESID-E_ANTC'!$A$5:$A$48,0),MATCH(Q$5,'RESID-E_ANTC'!$M$3:$T$3,0)),"")</f>
        <v>25.1952522652347</v>
      </c>
      <c r="R62" s="381">
        <f>IFERROR(INDEX('RESID-E_ANTC'!$M$5:$T$48,MATCH($B62,'RESID-E_ANTC'!$A$5:$A$48,0),MATCH(R$5,'RESID-E_ANTC'!$M$3:$T$3,0)),"")</f>
        <v>23.083651962362801</v>
      </c>
      <c r="S62" s="381">
        <f>IFERROR(INDEX('RESID-E_ANTC'!$M$5:$T$48,MATCH($B62,'RESID-E_ANTC'!$A$5:$A$48,0),MATCH(S$5,'RESID-E_ANTC'!$M$3:$T$3,0)),"")</f>
        <v>15.5161252325553</v>
      </c>
      <c r="T62" s="381">
        <f>IFERROR(INDEX('RESID-E_ANTC'!$M$5:$T$48,MATCH($B62,'RESID-E_ANTC'!$A$5:$A$48,0),MATCH(T$5,'RESID-E_ANTC'!$M$3:$T$3,0)),"")</f>
        <v>0</v>
      </c>
      <c r="U62" s="381">
        <f>IFERROR(INDEX('RESID-E_ANTC'!$M$5:$T$48,MATCH($B62,'RESID-E_ANTC'!$A$5:$A$48,0),MATCH(U$5,'RESID-E_ANTC'!$M$3:$T$3,0)),"")</f>
        <v>0</v>
      </c>
      <c r="V62" s="231"/>
      <c r="W62" s="231"/>
    </row>
    <row r="63" spans="2:23" x14ac:dyDescent="0.25">
      <c r="B63" s="385" t="str">
        <f>IF(ITEMS_Tech_E!D63="","",ITEMS_Tech_E!D63)</f>
        <v>TFRCOODS-E</v>
      </c>
      <c r="C63" s="232" t="str">
        <f>IF(ITEMS_Tech_E!E63="","",ITEMS_Tech_E!E63)</f>
        <v>Transport Freight - Rail Corridor Oil Diesel-E</v>
      </c>
      <c r="D63" s="219" t="s">
        <v>411</v>
      </c>
      <c r="E63" s="219" t="s">
        <v>441</v>
      </c>
      <c r="F63" s="377">
        <f>IFERROR(INDEX('EFF-E_ANTC'!$C$4:$H$47,MATCH($B63,'EFF-E_ANTC'!$A$4:$A$47,0),MATCH(F$5,'EFF-E_ANTC'!$C$3:$H$3,0)),"")</f>
        <v>2.8040417913534488</v>
      </c>
      <c r="G63" s="377">
        <f>IFERROR(INDEX('EFF-E_ANTC'!$C$4:$H$47,MATCH($B63,'EFF-E_ANTC'!$A$4:$A$47,0),MATCH(G$5,'EFF-E_ANTC'!$C$3:$H$3,0)),"")</f>
        <v>2.8040417913534488</v>
      </c>
      <c r="H63" s="377">
        <f>IFERROR(INDEX('EFF-E_ANTC'!$C$4:$H$47,MATCH($B63,'EFF-E_ANTC'!$A$4:$A$47,0),MATCH(H$5,'EFF-E_ANTC'!$C$3:$H$3,0)),"")</f>
        <v>2.8040417913534488</v>
      </c>
      <c r="I63" s="377">
        <f>IFERROR(INDEX('EFF-E_ANTC'!$C$4:$H$47,MATCH($B63,'EFF-E_ANTC'!$A$4:$A$47,0),MATCH(I$5,'EFF-E_ANTC'!$C$3:$H$3,0)),"")</f>
        <v>2.8040417913534488</v>
      </c>
      <c r="J63" s="377">
        <f>IFERROR(INDEX('EFF-E_ANTC'!$C$4:$H$47,MATCH($B63,'EFF-E_ANTC'!$A$4:$A$47,0),MATCH(J$5,'EFF-E_ANTC'!$C$3:$H$3,0)),"")</f>
        <v>2.8040417913534488</v>
      </c>
      <c r="K63" s="379">
        <f>IFERROR(INDEX('AFA-E_ANTC'!$J$5:$O$48,MATCH($B63,'AFA-E_ANTC'!$A$5:$A$48,0),MATCH(K$5,'AFA-E_ANTC'!$J$3:$O$3,0)),"")</f>
        <v>1</v>
      </c>
      <c r="L63" s="379">
        <f>IFERROR(INDEX('AFA-E_ANTC'!$J$5:$O$48,MATCH($B63,'AFA-E_ANTC'!$A$5:$A$48,0),MATCH(L$5,'AFA-E_ANTC'!$J$3:$O$3,0)),"")</f>
        <v>1</v>
      </c>
      <c r="M63" s="379">
        <f>IFERROR(INDEX('AFA-E_ANTC'!$J$5:$O$48,MATCH($B63,'AFA-E_ANTC'!$A$5:$A$48,0),MATCH(M$5,'AFA-E_ANTC'!$J$3:$O$3,0)),"")</f>
        <v>1</v>
      </c>
      <c r="N63" s="379">
        <f>IFERROR(INDEX('AFA-E_ANTC'!$J$5:$O$48,MATCH($B63,'AFA-E_ANTC'!$A$5:$A$48,0),MATCH(N$5,'AFA-E_ANTC'!$J$3:$O$3,0)),"")</f>
        <v>1</v>
      </c>
      <c r="O63" s="379">
        <f>IFERROR(INDEX('AFA-E_ANTC'!$J$5:$O$48,MATCH($B63,'AFA-E_ANTC'!$A$5:$A$48,0),MATCH(O$5,'AFA-E_ANTC'!$J$3:$O$3,0)),"")</f>
        <v>1</v>
      </c>
      <c r="P63" s="379">
        <f>IFERROR(INDEX('AFA-E_ANTC'!$P$5:$P$48,MATCH($B63,'AFA-E_ANTC'!$A$5:$A$48,0)),"")</f>
        <v>1</v>
      </c>
      <c r="Q63" s="381">
        <f>IFERROR(INDEX('RESID-E_ANTC'!$M$5:$T$48,MATCH($B63,'RESID-E_ANTC'!$A$5:$A$48,0),MATCH(Q$5,'RESID-E_ANTC'!$M$3:$T$3,0)),"")</f>
        <v>7.1799653230224925</v>
      </c>
      <c r="R63" s="381">
        <f>IFERROR(INDEX('RESID-E_ANTC'!$M$5:$T$48,MATCH($B63,'RESID-E_ANTC'!$A$5:$A$48,0),MATCH(R$5,'RESID-E_ANTC'!$M$3:$T$3,0)),"")</f>
        <v>7.1799653230224925</v>
      </c>
      <c r="S63" s="381">
        <f>IFERROR(INDEX('RESID-E_ANTC'!$M$5:$T$48,MATCH($B63,'RESID-E_ANTC'!$A$5:$A$48,0),MATCH(S$5,'RESID-E_ANTC'!$M$3:$T$3,0)),"")</f>
        <v>7.1799653230224925</v>
      </c>
      <c r="T63" s="381">
        <f>IFERROR(INDEX('RESID-E_ANTC'!$M$5:$T$48,MATCH($B63,'RESID-E_ANTC'!$A$5:$A$48,0),MATCH(T$5,'RESID-E_ANTC'!$M$3:$T$3,0)),"")</f>
        <v>0</v>
      </c>
      <c r="U63" s="381">
        <f>IFERROR(INDEX('RESID-E_ANTC'!$M$5:$T$48,MATCH($B63,'RESID-E_ANTC'!$A$5:$A$48,0),MATCH(U$5,'RESID-E_ANTC'!$M$3:$T$3,0)),"")</f>
        <v>0</v>
      </c>
      <c r="V63" s="231">
        <v>3</v>
      </c>
      <c r="W63" s="231">
        <v>0</v>
      </c>
    </row>
    <row r="64" spans="2:23" x14ac:dyDescent="0.25">
      <c r="B64" s="385" t="str">
        <f>IF(ITEMS_Tech_E!D64="","",ITEMS_Tech_E!D64)</f>
        <v>TFRCOELC-E</v>
      </c>
      <c r="C64" s="232" t="str">
        <f>IF(ITEMS_Tech_E!E64="","",ITEMS_Tech_E!E64)</f>
        <v>Transport Freight - Rail Corridor Electricity-E</v>
      </c>
      <c r="D64" s="219" t="s">
        <v>412</v>
      </c>
      <c r="E64" s="219" t="s">
        <v>441</v>
      </c>
      <c r="F64" s="377">
        <f>IFERROR(INDEX('EFF-E_ANTC'!$C$4:$H$47,MATCH($B64,'EFF-E_ANTC'!$A$4:$A$47,0),MATCH(F$5,'EFF-E_ANTC'!$C$3:$H$3,0)),"")</f>
        <v>4.0285422116338081</v>
      </c>
      <c r="G64" s="377">
        <f>IFERROR(INDEX('EFF-E_ANTC'!$C$4:$H$47,MATCH($B64,'EFF-E_ANTC'!$A$4:$A$47,0),MATCH(G$5,'EFF-E_ANTC'!$C$3:$H$3,0)),"")</f>
        <v>4.0285422116338081</v>
      </c>
      <c r="H64" s="377">
        <f>IFERROR(INDEX('EFF-E_ANTC'!$C$4:$H$47,MATCH($B64,'EFF-E_ANTC'!$A$4:$A$47,0),MATCH(H$5,'EFF-E_ANTC'!$C$3:$H$3,0)),"")</f>
        <v>4.0285422116338081</v>
      </c>
      <c r="I64" s="377">
        <f>IFERROR(INDEX('EFF-E_ANTC'!$C$4:$H$47,MATCH($B64,'EFF-E_ANTC'!$A$4:$A$47,0),MATCH(I$5,'EFF-E_ANTC'!$C$3:$H$3,0)),"")</f>
        <v>4.0285422116338081</v>
      </c>
      <c r="J64" s="377">
        <f>IFERROR(INDEX('EFF-E_ANTC'!$C$4:$H$47,MATCH($B64,'EFF-E_ANTC'!$A$4:$A$47,0),MATCH(J$5,'EFF-E_ANTC'!$C$3:$H$3,0)),"")</f>
        <v>4.0285422116338081</v>
      </c>
      <c r="K64" s="379">
        <f>IFERROR(INDEX('AFA-E_ANTC'!$J$5:$O$48,MATCH($B64,'AFA-E_ANTC'!$A$5:$A$48,0),MATCH(K$5,'AFA-E_ANTC'!$J$3:$O$3,0)),"")</f>
        <v>1</v>
      </c>
      <c r="L64" s="379">
        <f>IFERROR(INDEX('AFA-E_ANTC'!$J$5:$O$48,MATCH($B64,'AFA-E_ANTC'!$A$5:$A$48,0),MATCH(L$5,'AFA-E_ANTC'!$J$3:$O$3,0)),"")</f>
        <v>1</v>
      </c>
      <c r="M64" s="379">
        <f>IFERROR(INDEX('AFA-E_ANTC'!$J$5:$O$48,MATCH($B64,'AFA-E_ANTC'!$A$5:$A$48,0),MATCH(M$5,'AFA-E_ANTC'!$J$3:$O$3,0)),"")</f>
        <v>1</v>
      </c>
      <c r="N64" s="379">
        <f>IFERROR(INDEX('AFA-E_ANTC'!$J$5:$O$48,MATCH($B64,'AFA-E_ANTC'!$A$5:$A$48,0),MATCH(N$5,'AFA-E_ANTC'!$J$3:$O$3,0)),"")</f>
        <v>1</v>
      </c>
      <c r="O64" s="379">
        <f>IFERROR(INDEX('AFA-E_ANTC'!$J$5:$O$48,MATCH($B64,'AFA-E_ANTC'!$A$5:$A$48,0),MATCH(O$5,'AFA-E_ANTC'!$J$3:$O$3,0)),"")</f>
        <v>1</v>
      </c>
      <c r="P64" s="379">
        <f>IFERROR(INDEX('AFA-E_ANTC'!$P$5:$P$48,MATCH($B64,'AFA-E_ANTC'!$A$5:$A$48,0)),"")</f>
        <v>1</v>
      </c>
      <c r="Q64" s="381">
        <f>IFERROR(INDEX('RESID-E_ANTC'!$M$5:$T$48,MATCH($B64,'RESID-E_ANTC'!$A$5:$A$48,0),MATCH(Q$5,'RESID-E_ANTC'!$M$3:$T$3,0)),"")</f>
        <v>14.820034676977507</v>
      </c>
      <c r="R64" s="381">
        <f>IFERROR(INDEX('RESID-E_ANTC'!$M$5:$T$48,MATCH($B64,'RESID-E_ANTC'!$A$5:$A$48,0),MATCH(R$5,'RESID-E_ANTC'!$M$3:$T$3,0)),"")</f>
        <v>14.820034676977507</v>
      </c>
      <c r="S64" s="381">
        <f>IFERROR(INDEX('RESID-E_ANTC'!$M$5:$T$48,MATCH($B64,'RESID-E_ANTC'!$A$5:$A$48,0),MATCH(S$5,'RESID-E_ANTC'!$M$3:$T$3,0)),"")</f>
        <v>14.820034676977507</v>
      </c>
      <c r="T64" s="381">
        <f>IFERROR(INDEX('RESID-E_ANTC'!$M$5:$T$48,MATCH($B64,'RESID-E_ANTC'!$A$5:$A$48,0),MATCH(T$5,'RESID-E_ANTC'!$M$3:$T$3,0)),"")</f>
        <v>14.820034676977507</v>
      </c>
      <c r="U64" s="381">
        <f>IFERROR(INDEX('RESID-E_ANTC'!$M$5:$T$48,MATCH($B64,'RESID-E_ANTC'!$A$5:$A$48,0),MATCH(U$5,'RESID-E_ANTC'!$M$3:$T$3,0)),"")</f>
        <v>14.820034676977507</v>
      </c>
      <c r="V64" s="231">
        <v>3</v>
      </c>
      <c r="W64" s="231">
        <v>0</v>
      </c>
    </row>
    <row r="65" spans="2:23" x14ac:dyDescent="0.25">
      <c r="B65" s="385" t="str">
        <f>IF(ITEMS_Tech_E!D65="","",ITEMS_Tech_E!D65)</f>
        <v>TFROTODS-E</v>
      </c>
      <c r="C65" s="232" t="str">
        <f>IF(ITEMS_Tech_E!E65="","",ITEMS_Tech_E!E65)</f>
        <v>Transport Freight - Rail Other Oil Diesel-E</v>
      </c>
      <c r="D65" s="219" t="s">
        <v>411</v>
      </c>
      <c r="E65" s="219" t="s">
        <v>443</v>
      </c>
      <c r="F65" s="377">
        <f>IFERROR(INDEX('EFF-E_ANTC'!$C$4:$H$47,MATCH($B65,'EFF-E_ANTC'!$A$4:$A$47,0),MATCH(F$5,'EFF-E_ANTC'!$C$3:$H$3,0)),"")</f>
        <v>4.2248786996646812</v>
      </c>
      <c r="G65" s="377">
        <f>IFERROR(INDEX('EFF-E_ANTC'!$C$4:$H$47,MATCH($B65,'EFF-E_ANTC'!$A$4:$A$47,0),MATCH(G$5,'EFF-E_ANTC'!$C$3:$H$3,0)),"")</f>
        <v>4.2248786996646812</v>
      </c>
      <c r="H65" s="377">
        <f>IFERROR(INDEX('EFF-E_ANTC'!$C$4:$H$47,MATCH($B65,'EFF-E_ANTC'!$A$4:$A$47,0),MATCH(H$5,'EFF-E_ANTC'!$C$3:$H$3,0)),"")</f>
        <v>4.2248786996646812</v>
      </c>
      <c r="I65" s="377">
        <f>IFERROR(INDEX('EFF-E_ANTC'!$C$4:$H$47,MATCH($B65,'EFF-E_ANTC'!$A$4:$A$47,0),MATCH(I$5,'EFF-E_ANTC'!$C$3:$H$3,0)),"")</f>
        <v>4.2248786996646812</v>
      </c>
      <c r="J65" s="377">
        <f>IFERROR(INDEX('EFF-E_ANTC'!$C$4:$H$47,MATCH($B65,'EFF-E_ANTC'!$A$4:$A$47,0),MATCH(J$5,'EFF-E_ANTC'!$C$3:$H$3,0)),"")</f>
        <v>4.2248786996646812</v>
      </c>
      <c r="K65" s="379">
        <f>IFERROR(INDEX('AFA-E_ANTC'!$J$5:$O$48,MATCH($B65,'AFA-E_ANTC'!$A$5:$A$48,0),MATCH(K$5,'AFA-E_ANTC'!$J$3:$O$3,0)),"")</f>
        <v>1</v>
      </c>
      <c r="L65" s="379">
        <f>IFERROR(INDEX('AFA-E_ANTC'!$J$5:$O$48,MATCH($B65,'AFA-E_ANTC'!$A$5:$A$48,0),MATCH(L$5,'AFA-E_ANTC'!$J$3:$O$3,0)),"")</f>
        <v>1</v>
      </c>
      <c r="M65" s="379">
        <f>IFERROR(INDEX('AFA-E_ANTC'!$J$5:$O$48,MATCH($B65,'AFA-E_ANTC'!$A$5:$A$48,0),MATCH(M$5,'AFA-E_ANTC'!$J$3:$O$3,0)),"")</f>
        <v>1</v>
      </c>
      <c r="N65" s="379">
        <f>IFERROR(INDEX('AFA-E_ANTC'!$J$5:$O$48,MATCH($B65,'AFA-E_ANTC'!$A$5:$A$48,0),MATCH(N$5,'AFA-E_ANTC'!$J$3:$O$3,0)),"")</f>
        <v>1</v>
      </c>
      <c r="O65" s="379">
        <f>IFERROR(INDEX('AFA-E_ANTC'!$J$5:$O$48,MATCH($B65,'AFA-E_ANTC'!$A$5:$A$48,0),MATCH(O$5,'AFA-E_ANTC'!$J$3:$O$3,0)),"")</f>
        <v>1</v>
      </c>
      <c r="P65" s="379">
        <f>IFERROR(INDEX('AFA-E_ANTC'!$P$5:$P$48,MATCH($B65,'AFA-E_ANTC'!$A$5:$A$48,0)),"")</f>
        <v>1</v>
      </c>
      <c r="Q65" s="381">
        <f>IFERROR(INDEX('RESID-E_ANTC'!$M$5:$T$48,MATCH($B65,'RESID-E_ANTC'!$A$5:$A$48,0),MATCH(Q$5,'RESID-E_ANTC'!$M$3:$T$3,0)),"")</f>
        <v>5.3170222384328483</v>
      </c>
      <c r="R65" s="381">
        <f>IFERROR(INDEX('RESID-E_ANTC'!$M$5:$T$48,MATCH($B65,'RESID-E_ANTC'!$A$5:$A$48,0),MATCH(R$5,'RESID-E_ANTC'!$M$3:$T$3,0)),"")</f>
        <v>5.3170222384328483</v>
      </c>
      <c r="S65" s="381">
        <f>IFERROR(INDEX('RESID-E_ANTC'!$M$5:$T$48,MATCH($B65,'RESID-E_ANTC'!$A$5:$A$48,0),MATCH(S$5,'RESID-E_ANTC'!$M$3:$T$3,0)),"")</f>
        <v>5.3170222384328483</v>
      </c>
      <c r="T65" s="381">
        <f>IFERROR(INDEX('RESID-E_ANTC'!$M$5:$T$48,MATCH($B65,'RESID-E_ANTC'!$A$5:$A$48,0),MATCH(T$5,'RESID-E_ANTC'!$M$3:$T$3,0)),"")</f>
        <v>0</v>
      </c>
      <c r="U65" s="381">
        <f>IFERROR(INDEX('RESID-E_ANTC'!$M$5:$T$48,MATCH($B65,'RESID-E_ANTC'!$A$5:$A$48,0),MATCH(U$5,'RESID-E_ANTC'!$M$3:$T$3,0)),"")</f>
        <v>0</v>
      </c>
      <c r="V65" s="231">
        <v>3</v>
      </c>
      <c r="W65" s="231">
        <v>0</v>
      </c>
    </row>
    <row r="66" spans="2:23" x14ac:dyDescent="0.25">
      <c r="B66" s="385" t="str">
        <f>IF(ITEMS_Tech_E!D66="","",ITEMS_Tech_E!D66)</f>
        <v>TFROTELC-E</v>
      </c>
      <c r="C66" s="232" t="str">
        <f>IF(ITEMS_Tech_E!E66="","",ITEMS_Tech_E!E66)</f>
        <v>Transport Freight - Rail Other Electricity-E</v>
      </c>
      <c r="D66" s="219" t="s">
        <v>412</v>
      </c>
      <c r="E66" s="219" t="s">
        <v>443</v>
      </c>
      <c r="F66" s="377">
        <f>IFERROR(INDEX('EFF-E_ANTC'!$C$4:$H$47,MATCH($B66,'EFF-E_ANTC'!$A$4:$A$47,0),MATCH(F$5,'EFF-E_ANTC'!$C$3:$H$3,0)),"")</f>
        <v>12.071081999041946</v>
      </c>
      <c r="G66" s="377">
        <f>IFERROR(INDEX('EFF-E_ANTC'!$C$4:$H$47,MATCH($B66,'EFF-E_ANTC'!$A$4:$A$47,0),MATCH(G$5,'EFF-E_ANTC'!$C$3:$H$3,0)),"")</f>
        <v>12.071081999041946</v>
      </c>
      <c r="H66" s="377">
        <f>IFERROR(INDEX('EFF-E_ANTC'!$C$4:$H$47,MATCH($B66,'EFF-E_ANTC'!$A$4:$A$47,0),MATCH(H$5,'EFF-E_ANTC'!$C$3:$H$3,0)),"")</f>
        <v>12.071081999041946</v>
      </c>
      <c r="I66" s="377">
        <f>IFERROR(INDEX('EFF-E_ANTC'!$C$4:$H$47,MATCH($B66,'EFF-E_ANTC'!$A$4:$A$47,0),MATCH(I$5,'EFF-E_ANTC'!$C$3:$H$3,0)),"")</f>
        <v>12.071081999041946</v>
      </c>
      <c r="J66" s="377">
        <f>IFERROR(INDEX('EFF-E_ANTC'!$C$4:$H$47,MATCH($B66,'EFF-E_ANTC'!$A$4:$A$47,0),MATCH(J$5,'EFF-E_ANTC'!$C$3:$H$3,0)),"")</f>
        <v>12.071081999041946</v>
      </c>
      <c r="K66" s="379">
        <f>IFERROR(INDEX('AFA-E_ANTC'!$J$5:$O$48,MATCH($B66,'AFA-E_ANTC'!$A$5:$A$48,0),MATCH(K$5,'AFA-E_ANTC'!$J$3:$O$3,0)),"")</f>
        <v>1</v>
      </c>
      <c r="L66" s="379">
        <f>IFERROR(INDEX('AFA-E_ANTC'!$J$5:$O$48,MATCH($B66,'AFA-E_ANTC'!$A$5:$A$48,0),MATCH(L$5,'AFA-E_ANTC'!$J$3:$O$3,0)),"")</f>
        <v>1</v>
      </c>
      <c r="M66" s="379">
        <f>IFERROR(INDEX('AFA-E_ANTC'!$J$5:$O$48,MATCH($B66,'AFA-E_ANTC'!$A$5:$A$48,0),MATCH(M$5,'AFA-E_ANTC'!$J$3:$O$3,0)),"")</f>
        <v>1</v>
      </c>
      <c r="N66" s="379">
        <f>IFERROR(INDEX('AFA-E_ANTC'!$J$5:$O$48,MATCH($B66,'AFA-E_ANTC'!$A$5:$A$48,0),MATCH(N$5,'AFA-E_ANTC'!$J$3:$O$3,0)),"")</f>
        <v>1</v>
      </c>
      <c r="O66" s="379">
        <f>IFERROR(INDEX('AFA-E_ANTC'!$J$5:$O$48,MATCH($B66,'AFA-E_ANTC'!$A$5:$A$48,0),MATCH(O$5,'AFA-E_ANTC'!$J$3:$O$3,0)),"")</f>
        <v>1</v>
      </c>
      <c r="P66" s="379">
        <f>IFERROR(INDEX('AFA-E_ANTC'!$P$5:$P$48,MATCH($B66,'AFA-E_ANTC'!$A$5:$A$48,0)),"")</f>
        <v>1</v>
      </c>
      <c r="Q66" s="381">
        <f>IFERROR(INDEX('RESID-E_ANTC'!$M$5:$T$48,MATCH($B66,'RESID-E_ANTC'!$A$5:$A$48,0),MATCH(Q$5,'RESID-E_ANTC'!$M$3:$T$3,0)),"")</f>
        <v>21.825483275883826</v>
      </c>
      <c r="R66" s="381">
        <f>IFERROR(INDEX('RESID-E_ANTC'!$M$5:$T$48,MATCH($B66,'RESID-E_ANTC'!$A$5:$A$48,0),MATCH(R$5,'RESID-E_ANTC'!$M$3:$T$3,0)),"")</f>
        <v>21.825483275883826</v>
      </c>
      <c r="S66" s="381">
        <f>IFERROR(INDEX('RESID-E_ANTC'!$M$5:$T$48,MATCH($B66,'RESID-E_ANTC'!$A$5:$A$48,0),MATCH(S$5,'RESID-E_ANTC'!$M$3:$T$3,0)),"")</f>
        <v>21.825483275883826</v>
      </c>
      <c r="T66" s="381">
        <f>IFERROR(INDEX('RESID-E_ANTC'!$M$5:$T$48,MATCH($B66,'RESID-E_ANTC'!$A$5:$A$48,0),MATCH(T$5,'RESID-E_ANTC'!$M$3:$T$3,0)),"")</f>
        <v>21.825483275883826</v>
      </c>
      <c r="U66" s="381">
        <f>IFERROR(INDEX('RESID-E_ANTC'!$M$5:$T$48,MATCH($B66,'RESID-E_ANTC'!$A$5:$A$48,0),MATCH(U$5,'RESID-E_ANTC'!$M$3:$T$3,0)),"")</f>
        <v>21.825483275883826</v>
      </c>
      <c r="V66" s="231">
        <v>3</v>
      </c>
      <c r="W66" s="231">
        <v>0</v>
      </c>
    </row>
    <row r="67" spans="2:23" x14ac:dyDescent="0.25">
      <c r="B67" s="385" t="str">
        <f>IF(ITEMS_Tech_E!D67="","",ITEMS_Tech_E!D67)</f>
        <v>TFREXODSR-E</v>
      </c>
      <c r="C67" s="232" t="str">
        <f>IF(ITEMS_Tech_E!E67="","",ITEMS_Tech_E!E67)</f>
        <v>Transport Freight - Rail Export (bulk mining) Oil Diesel-E</v>
      </c>
      <c r="D67" s="219" t="s">
        <v>411</v>
      </c>
      <c r="E67" s="219" t="s">
        <v>445</v>
      </c>
      <c r="F67" s="377">
        <f>IFERROR(INDEX('EFF-E_ANTC'!$C$4:$H$47,MATCH($B67,'EFF-E_ANTC'!$A$4:$A$47,0),MATCH(F$5,'EFF-E_ANTC'!$C$3:$H$3,0)),"")</f>
        <v>6.545125793438701</v>
      </c>
      <c r="G67" s="377">
        <f>IFERROR(INDEX('EFF-E_ANTC'!$C$4:$H$47,MATCH($B67,'EFF-E_ANTC'!$A$4:$A$47,0),MATCH(G$5,'EFF-E_ANTC'!$C$3:$H$3,0)),"")</f>
        <v>6.545125793438701</v>
      </c>
      <c r="H67" s="377">
        <f>IFERROR(INDEX('EFF-E_ANTC'!$C$4:$H$47,MATCH($B67,'EFF-E_ANTC'!$A$4:$A$47,0),MATCH(H$5,'EFF-E_ANTC'!$C$3:$H$3,0)),"")</f>
        <v>6.545125793438701</v>
      </c>
      <c r="I67" s="377">
        <f>IFERROR(INDEX('EFF-E_ANTC'!$C$4:$H$47,MATCH($B67,'EFF-E_ANTC'!$A$4:$A$47,0),MATCH(I$5,'EFF-E_ANTC'!$C$3:$H$3,0)),"")</f>
        <v>6.545125793438701</v>
      </c>
      <c r="J67" s="377">
        <f>IFERROR(INDEX('EFF-E_ANTC'!$C$4:$H$47,MATCH($B67,'EFF-E_ANTC'!$A$4:$A$47,0),MATCH(J$5,'EFF-E_ANTC'!$C$3:$H$3,0)),"")</f>
        <v>6.545125793438701</v>
      </c>
      <c r="K67" s="379">
        <f>IFERROR(INDEX('AFA-E_ANTC'!$J$5:$O$48,MATCH($B67,'AFA-E_ANTC'!$A$5:$A$48,0),MATCH(K$5,'AFA-E_ANTC'!$J$3:$O$3,0)),"")</f>
        <v>1</v>
      </c>
      <c r="L67" s="379">
        <f>IFERROR(INDEX('AFA-E_ANTC'!$J$5:$O$48,MATCH($B67,'AFA-E_ANTC'!$A$5:$A$48,0),MATCH(L$5,'AFA-E_ANTC'!$J$3:$O$3,0)),"")</f>
        <v>1</v>
      </c>
      <c r="M67" s="379">
        <f>IFERROR(INDEX('AFA-E_ANTC'!$J$5:$O$48,MATCH($B67,'AFA-E_ANTC'!$A$5:$A$48,0),MATCH(M$5,'AFA-E_ANTC'!$J$3:$O$3,0)),"")</f>
        <v>1</v>
      </c>
      <c r="N67" s="379">
        <f>IFERROR(INDEX('AFA-E_ANTC'!$J$5:$O$48,MATCH($B67,'AFA-E_ANTC'!$A$5:$A$48,0),MATCH(N$5,'AFA-E_ANTC'!$J$3:$O$3,0)),"")</f>
        <v>1</v>
      </c>
      <c r="O67" s="379">
        <f>IFERROR(INDEX('AFA-E_ANTC'!$J$5:$O$48,MATCH($B67,'AFA-E_ANTC'!$A$5:$A$48,0),MATCH(O$5,'AFA-E_ANTC'!$J$3:$O$3,0)),"")</f>
        <v>1</v>
      </c>
      <c r="P67" s="379">
        <f>IFERROR(INDEX('AFA-E_ANTC'!$P$5:$P$48,MATCH($B67,'AFA-E_ANTC'!$A$5:$A$48,0)),"")</f>
        <v>1</v>
      </c>
      <c r="Q67" s="381">
        <f>IFERROR(INDEX('RESID-E_ANTC'!$M$5:$T$48,MATCH($B67,'RESID-E_ANTC'!$A$5:$A$48,0),MATCH(Q$5,'RESID-E_ANTC'!$M$3:$T$3,0)),"")</f>
        <v>17.370351535916075</v>
      </c>
      <c r="R67" s="381">
        <f>IFERROR(INDEX('RESID-E_ANTC'!$M$5:$T$48,MATCH($B67,'RESID-E_ANTC'!$A$5:$A$48,0),MATCH(R$5,'RESID-E_ANTC'!$M$3:$T$3,0)),"")</f>
        <v>17.370351535916075</v>
      </c>
      <c r="S67" s="381">
        <f>IFERROR(INDEX('RESID-E_ANTC'!$M$5:$T$48,MATCH($B67,'RESID-E_ANTC'!$A$5:$A$48,0),MATCH(S$5,'RESID-E_ANTC'!$M$3:$T$3,0)),"")</f>
        <v>17.370351535916075</v>
      </c>
      <c r="T67" s="381">
        <f>IFERROR(INDEX('RESID-E_ANTC'!$M$5:$T$48,MATCH($B67,'RESID-E_ANTC'!$A$5:$A$48,0),MATCH(T$5,'RESID-E_ANTC'!$M$3:$T$3,0)),"")</f>
        <v>0</v>
      </c>
      <c r="U67" s="381">
        <f>IFERROR(INDEX('RESID-E_ANTC'!$M$5:$T$48,MATCH($B67,'RESID-E_ANTC'!$A$5:$A$48,0),MATCH(U$5,'RESID-E_ANTC'!$M$3:$T$3,0)),"")</f>
        <v>0</v>
      </c>
      <c r="V67" s="231">
        <v>3</v>
      </c>
      <c r="W67" s="231">
        <v>0</v>
      </c>
    </row>
    <row r="68" spans="2:23" x14ac:dyDescent="0.25">
      <c r="B68" s="385" t="str">
        <f>IF(ITEMS_Tech_E!D68="","",ITEMS_Tech_E!D68)</f>
        <v>TFREXELCR-E</v>
      </c>
      <c r="C68" s="232" t="str">
        <f>IF(ITEMS_Tech_E!E68="","",ITEMS_Tech_E!E68)</f>
        <v>Transport Freight - Rail Export (bulk mining) Electricity-E</v>
      </c>
      <c r="D68" s="219" t="s">
        <v>412</v>
      </c>
      <c r="E68" s="219" t="s">
        <v>445</v>
      </c>
      <c r="F68" s="377">
        <f>IFERROR(INDEX('EFF-E_ANTC'!$C$4:$H$47,MATCH($B68,'EFF-E_ANTC'!$A$4:$A$47,0),MATCH(F$5,'EFF-E_ANTC'!$C$3:$H$3,0)),"")</f>
        <v>18.700359409824859</v>
      </c>
      <c r="G68" s="377">
        <f>IFERROR(INDEX('EFF-E_ANTC'!$C$4:$H$47,MATCH($B68,'EFF-E_ANTC'!$A$4:$A$47,0),MATCH(G$5,'EFF-E_ANTC'!$C$3:$H$3,0)),"")</f>
        <v>18.700359409824859</v>
      </c>
      <c r="H68" s="377">
        <f>IFERROR(INDEX('EFF-E_ANTC'!$C$4:$H$47,MATCH($B68,'EFF-E_ANTC'!$A$4:$A$47,0),MATCH(H$5,'EFF-E_ANTC'!$C$3:$H$3,0)),"")</f>
        <v>18.700359409824859</v>
      </c>
      <c r="I68" s="377">
        <f>IFERROR(INDEX('EFF-E_ANTC'!$C$4:$H$47,MATCH($B68,'EFF-E_ANTC'!$A$4:$A$47,0),MATCH(I$5,'EFF-E_ANTC'!$C$3:$H$3,0)),"")</f>
        <v>18.700359409824859</v>
      </c>
      <c r="J68" s="377">
        <f>IFERROR(INDEX('EFF-E_ANTC'!$C$4:$H$47,MATCH($B68,'EFF-E_ANTC'!$A$4:$A$47,0),MATCH(J$5,'EFF-E_ANTC'!$C$3:$H$3,0)),"")</f>
        <v>18.700359409824859</v>
      </c>
      <c r="K68" s="379">
        <f>IFERROR(INDEX('AFA-E_ANTC'!$J$5:$O$48,MATCH($B68,'AFA-E_ANTC'!$A$5:$A$48,0),MATCH(K$5,'AFA-E_ANTC'!$J$3:$O$3,0)),"")</f>
        <v>1</v>
      </c>
      <c r="L68" s="379">
        <f>IFERROR(INDEX('AFA-E_ANTC'!$J$5:$O$48,MATCH($B68,'AFA-E_ANTC'!$A$5:$A$48,0),MATCH(L$5,'AFA-E_ANTC'!$J$3:$O$3,0)),"")</f>
        <v>1</v>
      </c>
      <c r="M68" s="379">
        <f>IFERROR(INDEX('AFA-E_ANTC'!$J$5:$O$48,MATCH($B68,'AFA-E_ANTC'!$A$5:$A$48,0),MATCH(M$5,'AFA-E_ANTC'!$J$3:$O$3,0)),"")</f>
        <v>1</v>
      </c>
      <c r="N68" s="379">
        <f>IFERROR(INDEX('AFA-E_ANTC'!$J$5:$O$48,MATCH($B68,'AFA-E_ANTC'!$A$5:$A$48,0),MATCH(N$5,'AFA-E_ANTC'!$J$3:$O$3,0)),"")</f>
        <v>1</v>
      </c>
      <c r="O68" s="379">
        <f>IFERROR(INDEX('AFA-E_ANTC'!$J$5:$O$48,MATCH($B68,'AFA-E_ANTC'!$A$5:$A$48,0),MATCH(O$5,'AFA-E_ANTC'!$J$3:$O$3,0)),"")</f>
        <v>1</v>
      </c>
      <c r="P68" s="379">
        <f>IFERROR(INDEX('AFA-E_ANTC'!$P$5:$P$48,MATCH($B68,'AFA-E_ANTC'!$A$5:$A$48,0)),"")</f>
        <v>1</v>
      </c>
      <c r="Q68" s="381">
        <f>IFERROR(INDEX('RESID-E_ANTC'!$M$5:$T$48,MATCH($B68,'RESID-E_ANTC'!$A$5:$A$48,0),MATCH(Q$5,'RESID-E_ANTC'!$M$3:$T$3,0)),"")</f>
        <v>71.302375642329608</v>
      </c>
      <c r="R68" s="381">
        <f>IFERROR(INDEX('RESID-E_ANTC'!$M$5:$T$48,MATCH($B68,'RESID-E_ANTC'!$A$5:$A$48,0),MATCH(R$5,'RESID-E_ANTC'!$M$3:$T$3,0)),"")</f>
        <v>71.302375642329608</v>
      </c>
      <c r="S68" s="381">
        <f>IFERROR(INDEX('RESID-E_ANTC'!$M$5:$T$48,MATCH($B68,'RESID-E_ANTC'!$A$5:$A$48,0),MATCH(S$5,'RESID-E_ANTC'!$M$3:$T$3,0)),"")</f>
        <v>71.302375642329608</v>
      </c>
      <c r="T68" s="381">
        <f>IFERROR(INDEX('RESID-E_ANTC'!$M$5:$T$48,MATCH($B68,'RESID-E_ANTC'!$A$5:$A$48,0),MATCH(T$5,'RESID-E_ANTC'!$M$3:$T$3,0)),"")</f>
        <v>71.302375642329608</v>
      </c>
      <c r="U68" s="381">
        <f>IFERROR(INDEX('RESID-E_ANTC'!$M$5:$T$48,MATCH($B68,'RESID-E_ANTC'!$A$5:$A$48,0),MATCH(U$5,'RESID-E_ANTC'!$M$3:$T$3,0)),"")</f>
        <v>71.302375642329608</v>
      </c>
      <c r="V68" s="231">
        <v>3</v>
      </c>
      <c r="W68" s="231">
        <v>0</v>
      </c>
    </row>
    <row r="69" spans="2:23" x14ac:dyDescent="0.25">
      <c r="B69" s="385" t="str">
        <f>IF(ITEMS_Tech_E!D69="","",ITEMS_Tech_E!D69)</f>
        <v>*</v>
      </c>
      <c r="C69" s="232" t="str">
        <f>IF(ITEMS_Tech_E!E69="","",ITEMS_Tech_E!E69)</f>
        <v/>
      </c>
      <c r="D69" s="374"/>
      <c r="E69" s="374"/>
      <c r="F69" s="377">
        <f>IFERROR(INDEX('EFF-E_ANTC'!$C$4:$H$47,MATCH($B69,'EFF-E_ANTC'!$A$4:$A$47,0),MATCH(F$5,'EFF-E_ANTC'!$C$3:$H$3,0)),"")</f>
        <v>6.4348339348895098E-2</v>
      </c>
      <c r="G69" s="377">
        <f>IFERROR(INDEX('EFF-E_ANTC'!$C$4:$H$47,MATCH($B69,'EFF-E_ANTC'!$A$4:$A$47,0),MATCH(G$5,'EFF-E_ANTC'!$C$3:$H$3,0)),"")</f>
        <v>6.4532835825940396E-2</v>
      </c>
      <c r="H69" s="377">
        <f>IFERROR(INDEX('EFF-E_ANTC'!$C$4:$H$47,MATCH($B69,'EFF-E_ANTC'!$A$4:$A$47,0),MATCH(H$5,'EFF-E_ANTC'!$C$3:$H$3,0)),"")</f>
        <v>6.5227894002483106E-2</v>
      </c>
      <c r="I69" s="377">
        <f>IFERROR(INDEX('EFF-E_ANTC'!$C$4:$H$47,MATCH($B69,'EFF-E_ANTC'!$A$4:$A$47,0),MATCH(I$5,'EFF-E_ANTC'!$C$3:$H$3,0)),"")</f>
        <v>6.6011283101863896E-2</v>
      </c>
      <c r="J69" s="377">
        <f>IFERROR(INDEX('EFF-E_ANTC'!$C$4:$H$47,MATCH($B69,'EFF-E_ANTC'!$A$4:$A$47,0),MATCH(J$5,'EFF-E_ANTC'!$C$3:$H$3,0)),"")</f>
        <v>6.6777008175099004E-2</v>
      </c>
      <c r="K69" s="379">
        <f>IFERROR(INDEX('AFA-E_ANTC'!$J$5:$O$48,MATCH($B69,'AFA-E_ANTC'!$A$5:$A$48,0),MATCH(K$5,'AFA-E_ANTC'!$J$3:$O$3,0)),"")</f>
        <v>0.42532283795650333</v>
      </c>
      <c r="L69" s="379">
        <f>IFERROR(INDEX('AFA-E_ANTC'!$J$5:$O$48,MATCH($B69,'AFA-E_ANTC'!$A$5:$A$48,0),MATCH(L$5,'AFA-E_ANTC'!$J$3:$O$3,0)),"")</f>
        <v>0.33706878442068333</v>
      </c>
      <c r="M69" s="379">
        <f>IFERROR(INDEX('AFA-E_ANTC'!$J$5:$O$48,MATCH($B69,'AFA-E_ANTC'!$A$5:$A$48,0),MATCH(M$5,'AFA-E_ANTC'!$J$3:$O$3,0)),"")</f>
        <v>0.15171434294469499</v>
      </c>
      <c r="N69" s="379">
        <f>IFERROR(INDEX('AFA-E_ANTC'!$J$5:$O$48,MATCH($B69,'AFA-E_ANTC'!$A$5:$A$48,0),MATCH(N$5,'AFA-E_ANTC'!$J$3:$O$3,0)),"")</f>
        <v>6.6477490540613332E-2</v>
      </c>
      <c r="O69" s="379">
        <f>IFERROR(INDEX('AFA-E_ANTC'!$J$5:$O$48,MATCH($B69,'AFA-E_ANTC'!$A$5:$A$48,0),MATCH(O$5,'AFA-E_ANTC'!$J$3:$O$3,0)),"")</f>
        <v>2.8637041139474666E-2</v>
      </c>
      <c r="P69" s="379">
        <f>IFERROR(INDEX('AFA-E_ANTC'!$P$5:$P$48,MATCH($B69,'AFA-E_ANTC'!$A$5:$A$48,0)),"")</f>
        <v>0.06</v>
      </c>
      <c r="Q69" s="381">
        <f>IFERROR(INDEX('RESID-E_ANTC'!$M$5:$T$48,MATCH($B69,'RESID-E_ANTC'!$A$5:$A$48,0),MATCH(Q$5,'RESID-E_ANTC'!$M$3:$T$3,0)),"")</f>
        <v>25.1952522652347</v>
      </c>
      <c r="R69" s="381">
        <f>IFERROR(INDEX('RESID-E_ANTC'!$M$5:$T$48,MATCH($B69,'RESID-E_ANTC'!$A$5:$A$48,0),MATCH(R$5,'RESID-E_ANTC'!$M$3:$T$3,0)),"")</f>
        <v>23.083651962362801</v>
      </c>
      <c r="S69" s="381">
        <f>IFERROR(INDEX('RESID-E_ANTC'!$M$5:$T$48,MATCH($B69,'RESID-E_ANTC'!$A$5:$A$48,0),MATCH(S$5,'RESID-E_ANTC'!$M$3:$T$3,0)),"")</f>
        <v>15.5161252325553</v>
      </c>
      <c r="T69" s="381">
        <f>IFERROR(INDEX('RESID-E_ANTC'!$M$5:$T$48,MATCH($B69,'RESID-E_ANTC'!$A$5:$A$48,0),MATCH(T$5,'RESID-E_ANTC'!$M$3:$T$3,0)),"")</f>
        <v>0</v>
      </c>
      <c r="U69" s="381">
        <f>IFERROR(INDEX('RESID-E_ANTC'!$M$5:$T$48,MATCH($B69,'RESID-E_ANTC'!$A$5:$A$48,0),MATCH(U$5,'RESID-E_ANTC'!$M$3:$T$3,0)),"")</f>
        <v>0</v>
      </c>
      <c r="V69" s="231"/>
      <c r="W69" s="231"/>
    </row>
    <row r="70" spans="2:23" x14ac:dyDescent="0.25">
      <c r="B70" s="385" t="str">
        <f>IF(ITEMS_Tech_E!D70="","",ITEMS_Tech_E!D70)</f>
        <v>*</v>
      </c>
      <c r="C70" s="232" t="str">
        <f>IF(ITEMS_Tech_E!E70="","",ITEMS_Tech_E!E70)</f>
        <v/>
      </c>
      <c r="D70" s="374"/>
      <c r="E70" s="374"/>
      <c r="F70" s="377">
        <f>IFERROR(INDEX('EFF-E_ANTC'!$C$4:$H$47,MATCH($B70,'EFF-E_ANTC'!$A$4:$A$47,0),MATCH(F$5,'EFF-E_ANTC'!$C$3:$H$3,0)),"")</f>
        <v>6.4348339348895098E-2</v>
      </c>
      <c r="G70" s="377">
        <f>IFERROR(INDEX('EFF-E_ANTC'!$C$4:$H$47,MATCH($B70,'EFF-E_ANTC'!$A$4:$A$47,0),MATCH(G$5,'EFF-E_ANTC'!$C$3:$H$3,0)),"")</f>
        <v>6.4532835825940396E-2</v>
      </c>
      <c r="H70" s="377">
        <f>IFERROR(INDEX('EFF-E_ANTC'!$C$4:$H$47,MATCH($B70,'EFF-E_ANTC'!$A$4:$A$47,0),MATCH(H$5,'EFF-E_ANTC'!$C$3:$H$3,0)),"")</f>
        <v>6.5227894002483106E-2</v>
      </c>
      <c r="I70" s="377">
        <f>IFERROR(INDEX('EFF-E_ANTC'!$C$4:$H$47,MATCH($B70,'EFF-E_ANTC'!$A$4:$A$47,0),MATCH(I$5,'EFF-E_ANTC'!$C$3:$H$3,0)),"")</f>
        <v>6.6011283101863896E-2</v>
      </c>
      <c r="J70" s="377">
        <f>IFERROR(INDEX('EFF-E_ANTC'!$C$4:$H$47,MATCH($B70,'EFF-E_ANTC'!$A$4:$A$47,0),MATCH(J$5,'EFF-E_ANTC'!$C$3:$H$3,0)),"")</f>
        <v>6.6777008175099004E-2</v>
      </c>
      <c r="K70" s="379">
        <f>IFERROR(INDEX('AFA-E_ANTC'!$J$5:$O$48,MATCH($B70,'AFA-E_ANTC'!$A$5:$A$48,0),MATCH(K$5,'AFA-E_ANTC'!$J$3:$O$3,0)),"")</f>
        <v>0.42532283795650333</v>
      </c>
      <c r="L70" s="379">
        <f>IFERROR(INDEX('AFA-E_ANTC'!$J$5:$O$48,MATCH($B70,'AFA-E_ANTC'!$A$5:$A$48,0),MATCH(L$5,'AFA-E_ANTC'!$J$3:$O$3,0)),"")</f>
        <v>0.33706878442068333</v>
      </c>
      <c r="M70" s="379">
        <f>IFERROR(INDEX('AFA-E_ANTC'!$J$5:$O$48,MATCH($B70,'AFA-E_ANTC'!$A$5:$A$48,0),MATCH(M$5,'AFA-E_ANTC'!$J$3:$O$3,0)),"")</f>
        <v>0.15171434294469499</v>
      </c>
      <c r="N70" s="379">
        <f>IFERROR(INDEX('AFA-E_ANTC'!$J$5:$O$48,MATCH($B70,'AFA-E_ANTC'!$A$5:$A$48,0),MATCH(N$5,'AFA-E_ANTC'!$J$3:$O$3,0)),"")</f>
        <v>6.6477490540613332E-2</v>
      </c>
      <c r="O70" s="379">
        <f>IFERROR(INDEX('AFA-E_ANTC'!$J$5:$O$48,MATCH($B70,'AFA-E_ANTC'!$A$5:$A$48,0),MATCH(O$5,'AFA-E_ANTC'!$J$3:$O$3,0)),"")</f>
        <v>2.8637041139474666E-2</v>
      </c>
      <c r="P70" s="379">
        <f>IFERROR(INDEX('AFA-E_ANTC'!$P$5:$P$48,MATCH($B70,'AFA-E_ANTC'!$A$5:$A$48,0)),"")</f>
        <v>0.06</v>
      </c>
      <c r="Q70" s="381">
        <f>IFERROR(INDEX('RESID-E_ANTC'!$M$5:$T$48,MATCH($B70,'RESID-E_ANTC'!$A$5:$A$48,0),MATCH(Q$5,'RESID-E_ANTC'!$M$3:$T$3,0)),"")</f>
        <v>25.1952522652347</v>
      </c>
      <c r="R70" s="381">
        <f>IFERROR(INDEX('RESID-E_ANTC'!$M$5:$T$48,MATCH($B70,'RESID-E_ANTC'!$A$5:$A$48,0),MATCH(R$5,'RESID-E_ANTC'!$M$3:$T$3,0)),"")</f>
        <v>23.083651962362801</v>
      </c>
      <c r="S70" s="381">
        <f>IFERROR(INDEX('RESID-E_ANTC'!$M$5:$T$48,MATCH($B70,'RESID-E_ANTC'!$A$5:$A$48,0),MATCH(S$5,'RESID-E_ANTC'!$M$3:$T$3,0)),"")</f>
        <v>15.5161252325553</v>
      </c>
      <c r="T70" s="381">
        <f>IFERROR(INDEX('RESID-E_ANTC'!$M$5:$T$48,MATCH($B70,'RESID-E_ANTC'!$A$5:$A$48,0),MATCH(T$5,'RESID-E_ANTC'!$M$3:$T$3,0)),"")</f>
        <v>0</v>
      </c>
      <c r="U70" s="381">
        <f>IFERROR(INDEX('RESID-E_ANTC'!$M$5:$T$48,MATCH($B70,'RESID-E_ANTC'!$A$5:$A$48,0),MATCH(U$5,'RESID-E_ANTC'!$M$3:$T$3,0)),"")</f>
        <v>0</v>
      </c>
      <c r="V70" s="231"/>
      <c r="W70" s="231"/>
    </row>
    <row r="71" spans="2:23" x14ac:dyDescent="0.25">
      <c r="B71" s="385" t="str">
        <f>IF(ITEMS_Tech_E!D71="","",ITEMS_Tech_E!D71)</f>
        <v>*</v>
      </c>
      <c r="C71" s="232" t="str">
        <f>IF(ITEMS_Tech_E!E71="","",ITEMS_Tech_E!E71)</f>
        <v/>
      </c>
      <c r="D71" s="374"/>
      <c r="E71" s="374"/>
      <c r="F71" s="377">
        <f>IFERROR(INDEX('EFF-E_ANTC'!$C$4:$H$47,MATCH($B71,'EFF-E_ANTC'!$A$4:$A$47,0),MATCH(F$5,'EFF-E_ANTC'!$C$3:$H$3,0)),"")</f>
        <v>6.4348339348895098E-2</v>
      </c>
      <c r="G71" s="377">
        <f>IFERROR(INDEX('EFF-E_ANTC'!$C$4:$H$47,MATCH($B71,'EFF-E_ANTC'!$A$4:$A$47,0),MATCH(G$5,'EFF-E_ANTC'!$C$3:$H$3,0)),"")</f>
        <v>6.4532835825940396E-2</v>
      </c>
      <c r="H71" s="377">
        <f>IFERROR(INDEX('EFF-E_ANTC'!$C$4:$H$47,MATCH($B71,'EFF-E_ANTC'!$A$4:$A$47,0),MATCH(H$5,'EFF-E_ANTC'!$C$3:$H$3,0)),"")</f>
        <v>6.5227894002483106E-2</v>
      </c>
      <c r="I71" s="377">
        <f>IFERROR(INDEX('EFF-E_ANTC'!$C$4:$H$47,MATCH($B71,'EFF-E_ANTC'!$A$4:$A$47,0),MATCH(I$5,'EFF-E_ANTC'!$C$3:$H$3,0)),"")</f>
        <v>6.6011283101863896E-2</v>
      </c>
      <c r="J71" s="377">
        <f>IFERROR(INDEX('EFF-E_ANTC'!$C$4:$H$47,MATCH($B71,'EFF-E_ANTC'!$A$4:$A$47,0),MATCH(J$5,'EFF-E_ANTC'!$C$3:$H$3,0)),"")</f>
        <v>6.6777008175099004E-2</v>
      </c>
      <c r="K71" s="379">
        <f>IFERROR(INDEX('AFA-E_ANTC'!$J$5:$O$48,MATCH($B71,'AFA-E_ANTC'!$A$5:$A$48,0),MATCH(K$5,'AFA-E_ANTC'!$J$3:$O$3,0)),"")</f>
        <v>0.42532283795650333</v>
      </c>
      <c r="L71" s="379">
        <f>IFERROR(INDEX('AFA-E_ANTC'!$J$5:$O$48,MATCH($B71,'AFA-E_ANTC'!$A$5:$A$48,0),MATCH(L$5,'AFA-E_ANTC'!$J$3:$O$3,0)),"")</f>
        <v>0.33706878442068333</v>
      </c>
      <c r="M71" s="379">
        <f>IFERROR(INDEX('AFA-E_ANTC'!$J$5:$O$48,MATCH($B71,'AFA-E_ANTC'!$A$5:$A$48,0),MATCH(M$5,'AFA-E_ANTC'!$J$3:$O$3,0)),"")</f>
        <v>0.15171434294469499</v>
      </c>
      <c r="N71" s="379">
        <f>IFERROR(INDEX('AFA-E_ANTC'!$J$5:$O$48,MATCH($B71,'AFA-E_ANTC'!$A$5:$A$48,0),MATCH(N$5,'AFA-E_ANTC'!$J$3:$O$3,0)),"")</f>
        <v>6.6477490540613332E-2</v>
      </c>
      <c r="O71" s="379">
        <f>IFERROR(INDEX('AFA-E_ANTC'!$J$5:$O$48,MATCH($B71,'AFA-E_ANTC'!$A$5:$A$48,0),MATCH(O$5,'AFA-E_ANTC'!$J$3:$O$3,0)),"")</f>
        <v>2.8637041139474666E-2</v>
      </c>
      <c r="P71" s="379">
        <f>IFERROR(INDEX('AFA-E_ANTC'!$P$5:$P$48,MATCH($B71,'AFA-E_ANTC'!$A$5:$A$48,0)),"")</f>
        <v>0.06</v>
      </c>
      <c r="Q71" s="381">
        <f>IFERROR(INDEX('RESID-E_ANTC'!$M$5:$T$48,MATCH($B71,'RESID-E_ANTC'!$A$5:$A$48,0),MATCH(Q$5,'RESID-E_ANTC'!$M$3:$T$3,0)),"")</f>
        <v>25.1952522652347</v>
      </c>
      <c r="R71" s="381">
        <f>IFERROR(INDEX('RESID-E_ANTC'!$M$5:$T$48,MATCH($B71,'RESID-E_ANTC'!$A$5:$A$48,0),MATCH(R$5,'RESID-E_ANTC'!$M$3:$T$3,0)),"")</f>
        <v>23.083651962362801</v>
      </c>
      <c r="S71" s="381">
        <f>IFERROR(INDEX('RESID-E_ANTC'!$M$5:$T$48,MATCH($B71,'RESID-E_ANTC'!$A$5:$A$48,0),MATCH(S$5,'RESID-E_ANTC'!$M$3:$T$3,0)),"")</f>
        <v>15.5161252325553</v>
      </c>
      <c r="T71" s="381">
        <f>IFERROR(INDEX('RESID-E_ANTC'!$M$5:$T$48,MATCH($B71,'RESID-E_ANTC'!$A$5:$A$48,0),MATCH(T$5,'RESID-E_ANTC'!$M$3:$T$3,0)),"")</f>
        <v>0</v>
      </c>
      <c r="U71" s="381">
        <f>IFERROR(INDEX('RESID-E_ANTC'!$M$5:$T$48,MATCH($B71,'RESID-E_ANTC'!$A$5:$A$48,0),MATCH(U$5,'RESID-E_ANTC'!$M$3:$T$3,0)),"")</f>
        <v>0</v>
      </c>
      <c r="V71" s="231"/>
      <c r="W71" s="231"/>
    </row>
    <row r="72" spans="2:23" x14ac:dyDescent="0.25">
      <c r="B72" s="385" t="str">
        <f>IF(ITEMS_Tech_E!D72="","",ITEMS_Tech_E!D72)</f>
        <v>*</v>
      </c>
      <c r="C72" s="232" t="str">
        <f>IF(ITEMS_Tech_E!E72="","",ITEMS_Tech_E!E72)</f>
        <v>Transport Other</v>
      </c>
      <c r="D72" s="374"/>
      <c r="E72" s="374"/>
      <c r="F72" s="377">
        <f>IFERROR(INDEX('EFF-E_ANTC'!$C$4:$H$47,MATCH($B72,'EFF-E_ANTC'!$A$4:$A$47,0),MATCH(F$5,'EFF-E_ANTC'!$C$3:$H$3,0)),"")</f>
        <v>6.4348339348895098E-2</v>
      </c>
      <c r="G72" s="377">
        <f>IFERROR(INDEX('EFF-E_ANTC'!$C$4:$H$47,MATCH($B72,'EFF-E_ANTC'!$A$4:$A$47,0),MATCH(G$5,'EFF-E_ANTC'!$C$3:$H$3,0)),"")</f>
        <v>6.4532835825940396E-2</v>
      </c>
      <c r="H72" s="377">
        <f>IFERROR(INDEX('EFF-E_ANTC'!$C$4:$H$47,MATCH($B72,'EFF-E_ANTC'!$A$4:$A$47,0),MATCH(H$5,'EFF-E_ANTC'!$C$3:$H$3,0)),"")</f>
        <v>6.5227894002483106E-2</v>
      </c>
      <c r="I72" s="377">
        <f>IFERROR(INDEX('EFF-E_ANTC'!$C$4:$H$47,MATCH($B72,'EFF-E_ANTC'!$A$4:$A$47,0),MATCH(I$5,'EFF-E_ANTC'!$C$3:$H$3,0)),"")</f>
        <v>6.6011283101863896E-2</v>
      </c>
      <c r="J72" s="377">
        <f>IFERROR(INDEX('EFF-E_ANTC'!$C$4:$H$47,MATCH($B72,'EFF-E_ANTC'!$A$4:$A$47,0),MATCH(J$5,'EFF-E_ANTC'!$C$3:$H$3,0)),"")</f>
        <v>6.6777008175099004E-2</v>
      </c>
      <c r="K72" s="379">
        <f>IFERROR(INDEX('AFA-E_ANTC'!$J$5:$O$48,MATCH($B72,'AFA-E_ANTC'!$A$5:$A$48,0),MATCH(K$5,'AFA-E_ANTC'!$J$3:$O$3,0)),"")</f>
        <v>0.42532283795650333</v>
      </c>
      <c r="L72" s="379">
        <f>IFERROR(INDEX('AFA-E_ANTC'!$J$5:$O$48,MATCH($B72,'AFA-E_ANTC'!$A$5:$A$48,0),MATCH(L$5,'AFA-E_ANTC'!$J$3:$O$3,0)),"")</f>
        <v>0.33706878442068333</v>
      </c>
      <c r="M72" s="379">
        <f>IFERROR(INDEX('AFA-E_ANTC'!$J$5:$O$48,MATCH($B72,'AFA-E_ANTC'!$A$5:$A$48,0),MATCH(M$5,'AFA-E_ANTC'!$J$3:$O$3,0)),"")</f>
        <v>0.15171434294469499</v>
      </c>
      <c r="N72" s="379">
        <f>IFERROR(INDEX('AFA-E_ANTC'!$J$5:$O$48,MATCH($B72,'AFA-E_ANTC'!$A$5:$A$48,0),MATCH(N$5,'AFA-E_ANTC'!$J$3:$O$3,0)),"")</f>
        <v>6.6477490540613332E-2</v>
      </c>
      <c r="O72" s="379">
        <f>IFERROR(INDEX('AFA-E_ANTC'!$J$5:$O$48,MATCH($B72,'AFA-E_ANTC'!$A$5:$A$48,0),MATCH(O$5,'AFA-E_ANTC'!$J$3:$O$3,0)),"")</f>
        <v>2.8637041139474666E-2</v>
      </c>
      <c r="P72" s="379">
        <f>IFERROR(INDEX('AFA-E_ANTC'!$P$5:$P$48,MATCH($B72,'AFA-E_ANTC'!$A$5:$A$48,0)),"")</f>
        <v>0.06</v>
      </c>
      <c r="Q72" s="381">
        <f>IFERROR(INDEX('RESID-E_ANTC'!$M$5:$T$48,MATCH($B72,'RESID-E_ANTC'!$A$5:$A$48,0),MATCH(Q$5,'RESID-E_ANTC'!$M$3:$T$3,0)),"")</f>
        <v>25.1952522652347</v>
      </c>
      <c r="R72" s="381">
        <f>IFERROR(INDEX('RESID-E_ANTC'!$M$5:$T$48,MATCH($B72,'RESID-E_ANTC'!$A$5:$A$48,0),MATCH(R$5,'RESID-E_ANTC'!$M$3:$T$3,0)),"")</f>
        <v>23.083651962362801</v>
      </c>
      <c r="S72" s="381">
        <f>IFERROR(INDEX('RESID-E_ANTC'!$M$5:$T$48,MATCH($B72,'RESID-E_ANTC'!$A$5:$A$48,0),MATCH(S$5,'RESID-E_ANTC'!$M$3:$T$3,0)),"")</f>
        <v>15.5161252325553</v>
      </c>
      <c r="T72" s="381">
        <f>IFERROR(INDEX('RESID-E_ANTC'!$M$5:$T$48,MATCH($B72,'RESID-E_ANTC'!$A$5:$A$48,0),MATCH(T$5,'RESID-E_ANTC'!$M$3:$T$3,0)),"")</f>
        <v>0</v>
      </c>
      <c r="U72" s="381">
        <f>IFERROR(INDEX('RESID-E_ANTC'!$M$5:$T$48,MATCH($B72,'RESID-E_ANTC'!$A$5:$A$48,0),MATCH(U$5,'RESID-E_ANTC'!$M$3:$T$3,0)),"")</f>
        <v>0</v>
      </c>
      <c r="V72" s="231"/>
      <c r="W72" s="231"/>
    </row>
    <row r="73" spans="2:23" x14ac:dyDescent="0.25">
      <c r="B73" s="385" t="str">
        <f>IF(ITEMS_Tech_E!D73="","",ITEMS_Tech_E!D73)</f>
        <v>TFPIPELC-E</v>
      </c>
      <c r="C73" s="232" t="str">
        <f>IF(ITEMS_Tech_E!E73="","",ITEMS_Tech_E!E73)</f>
        <v>Transport Other - Pipeline Electricity-E</v>
      </c>
      <c r="D73" s="219" t="s">
        <v>412</v>
      </c>
      <c r="E73" s="219" t="s">
        <v>448</v>
      </c>
      <c r="F73" s="377">
        <f>IFERROR(INDEX('EFF-E_ANTC'!$C$4:$H$47,MATCH($B73,'EFF-E_ANTC'!$A$4:$A$47,0),MATCH(F$5,'EFF-E_ANTC'!$C$3:$H$3,0)),"")</f>
        <v>1</v>
      </c>
      <c r="G73" s="377">
        <f>IFERROR(INDEX('EFF-E_ANTC'!$C$4:$H$47,MATCH($B73,'EFF-E_ANTC'!$A$4:$A$47,0),MATCH(G$5,'EFF-E_ANTC'!$C$3:$H$3,0)),"")</f>
        <v>1</v>
      </c>
      <c r="H73" s="377">
        <f>IFERROR(INDEX('EFF-E_ANTC'!$C$4:$H$47,MATCH($B73,'EFF-E_ANTC'!$A$4:$A$47,0),MATCH(H$5,'EFF-E_ANTC'!$C$3:$H$3,0)),"")</f>
        <v>1</v>
      </c>
      <c r="I73" s="377">
        <f>IFERROR(INDEX('EFF-E_ANTC'!$C$4:$H$47,MATCH($B73,'EFF-E_ANTC'!$A$4:$A$47,0),MATCH(I$5,'EFF-E_ANTC'!$C$3:$H$3,0)),"")</f>
        <v>1</v>
      </c>
      <c r="J73" s="377">
        <f>IFERROR(INDEX('EFF-E_ANTC'!$C$4:$H$47,MATCH($B73,'EFF-E_ANTC'!$A$4:$A$47,0),MATCH(J$5,'EFF-E_ANTC'!$C$3:$H$3,0)),"")</f>
        <v>1</v>
      </c>
      <c r="K73" s="379">
        <f>IFERROR(INDEX('AFA-E_ANTC'!$J$5:$O$48,MATCH($B73,'AFA-E_ANTC'!$A$5:$A$48,0),MATCH(K$5,'AFA-E_ANTC'!$J$3:$O$3,0)),"")</f>
        <v>1</v>
      </c>
      <c r="L73" s="379">
        <f>IFERROR(INDEX('AFA-E_ANTC'!$J$5:$O$48,MATCH($B73,'AFA-E_ANTC'!$A$5:$A$48,0),MATCH(L$5,'AFA-E_ANTC'!$J$3:$O$3,0)),"")</f>
        <v>1</v>
      </c>
      <c r="M73" s="379">
        <f>IFERROR(INDEX('AFA-E_ANTC'!$J$5:$O$48,MATCH($B73,'AFA-E_ANTC'!$A$5:$A$48,0),MATCH(M$5,'AFA-E_ANTC'!$J$3:$O$3,0)),"")</f>
        <v>1</v>
      </c>
      <c r="N73" s="379">
        <f>IFERROR(INDEX('AFA-E_ANTC'!$J$5:$O$48,MATCH($B73,'AFA-E_ANTC'!$A$5:$A$48,0),MATCH(N$5,'AFA-E_ANTC'!$J$3:$O$3,0)),"")</f>
        <v>1</v>
      </c>
      <c r="O73" s="379">
        <f>IFERROR(INDEX('AFA-E_ANTC'!$J$5:$O$48,MATCH($B73,'AFA-E_ANTC'!$A$5:$A$48,0),MATCH(O$5,'AFA-E_ANTC'!$J$3:$O$3,0)),"")</f>
        <v>1</v>
      </c>
      <c r="P73" s="379">
        <f>IFERROR(INDEX('AFA-E_ANTC'!$P$5:$P$48,MATCH($B73,'AFA-E_ANTC'!$A$5:$A$48,0)),"")</f>
        <v>1</v>
      </c>
      <c r="Q73" s="381">
        <f>IFERROR(INDEX('RESID-E_ANTC'!$M$5:$T$48,MATCH($B73,'RESID-E_ANTC'!$A$5:$A$48,0),MATCH(Q$5,'RESID-E_ANTC'!$M$3:$T$3,0)),"")</f>
        <v>1.641128256</v>
      </c>
      <c r="R73" s="381">
        <f>IFERROR(INDEX('RESID-E_ANTC'!$M$5:$T$48,MATCH($B73,'RESID-E_ANTC'!$A$5:$A$48,0),MATCH(R$5,'RESID-E_ANTC'!$M$3:$T$3,0)),"")</f>
        <v>1.641128256</v>
      </c>
      <c r="S73" s="381">
        <f>IFERROR(INDEX('RESID-E_ANTC'!$M$5:$T$48,MATCH($B73,'RESID-E_ANTC'!$A$5:$A$48,0),MATCH(S$5,'RESID-E_ANTC'!$M$3:$T$3,0)),"")</f>
        <v>1.641128256</v>
      </c>
      <c r="T73" s="381">
        <f>IFERROR(INDEX('RESID-E_ANTC'!$M$5:$T$48,MATCH($B73,'RESID-E_ANTC'!$A$5:$A$48,0),MATCH(T$5,'RESID-E_ANTC'!$M$3:$T$3,0)),"")</f>
        <v>1.641128256</v>
      </c>
      <c r="U73" s="381">
        <f>IFERROR(INDEX('RESID-E_ANTC'!$M$5:$T$48,MATCH($B73,'RESID-E_ANTC'!$A$5:$A$48,0),MATCH(U$5,'RESID-E_ANTC'!$M$3:$T$3,0)),"")</f>
        <v>1.641128256</v>
      </c>
      <c r="V73" s="231">
        <v>3</v>
      </c>
      <c r="W73" s="231">
        <v>0</v>
      </c>
    </row>
    <row r="74" spans="2:23" x14ac:dyDescent="0.25">
      <c r="B74" s="385" t="str">
        <f>IF(ITEMS_Tech_E!D74="","",ITEMS_Tech_E!D74)</f>
        <v>TAIJETOKE-E</v>
      </c>
      <c r="C74" s="232" t="str">
        <f>IF(ITEMS_Tech_E!E74="","",ITEMS_Tech_E!E74)</f>
        <v>Transport Other -  Aviation Int Jet Fuel -E</v>
      </c>
      <c r="D74" s="219" t="s">
        <v>802</v>
      </c>
      <c r="E74" s="219" t="s">
        <v>450</v>
      </c>
      <c r="F74" s="377">
        <f>IFERROR(INDEX('EFF-E_ANTC'!$C$4:$H$47,MATCH($B74,'EFF-E_ANTC'!$A$4:$A$47,0),MATCH(F$5,'EFF-E_ANTC'!$C$3:$H$3,0)),"")</f>
        <v>1</v>
      </c>
      <c r="G74" s="377">
        <f>IFERROR(INDEX('EFF-E_ANTC'!$C$4:$H$47,MATCH($B74,'EFF-E_ANTC'!$A$4:$A$47,0),MATCH(G$5,'EFF-E_ANTC'!$C$3:$H$3,0)),"")</f>
        <v>1</v>
      </c>
      <c r="H74" s="377">
        <f>IFERROR(INDEX('EFF-E_ANTC'!$C$4:$H$47,MATCH($B74,'EFF-E_ANTC'!$A$4:$A$47,0),MATCH(H$5,'EFF-E_ANTC'!$C$3:$H$3,0)),"")</f>
        <v>1</v>
      </c>
      <c r="I74" s="377">
        <f>IFERROR(INDEX('EFF-E_ANTC'!$C$4:$H$47,MATCH($B74,'EFF-E_ANTC'!$A$4:$A$47,0),MATCH(I$5,'EFF-E_ANTC'!$C$3:$H$3,0)),"")</f>
        <v>1</v>
      </c>
      <c r="J74" s="377">
        <f>IFERROR(INDEX('EFF-E_ANTC'!$C$4:$H$47,MATCH($B74,'EFF-E_ANTC'!$A$4:$A$47,0),MATCH(J$5,'EFF-E_ANTC'!$C$3:$H$3,0)),"")</f>
        <v>1</v>
      </c>
      <c r="K74" s="379">
        <f>IFERROR(INDEX('AFA-E_ANTC'!$J$5:$O$48,MATCH($B74,'AFA-E_ANTC'!$A$5:$A$48,0),MATCH(K$5,'AFA-E_ANTC'!$J$3:$O$3,0)),"")</f>
        <v>1</v>
      </c>
      <c r="L74" s="379">
        <f>IFERROR(INDEX('AFA-E_ANTC'!$J$5:$O$48,MATCH($B74,'AFA-E_ANTC'!$A$5:$A$48,0),MATCH(L$5,'AFA-E_ANTC'!$J$3:$O$3,0)),"")</f>
        <v>1</v>
      </c>
      <c r="M74" s="379">
        <f>IFERROR(INDEX('AFA-E_ANTC'!$J$5:$O$48,MATCH($B74,'AFA-E_ANTC'!$A$5:$A$48,0),MATCH(M$5,'AFA-E_ANTC'!$J$3:$O$3,0)),"")</f>
        <v>1</v>
      </c>
      <c r="N74" s="379">
        <f>IFERROR(INDEX('AFA-E_ANTC'!$J$5:$O$48,MATCH($B74,'AFA-E_ANTC'!$A$5:$A$48,0),MATCH(N$5,'AFA-E_ANTC'!$J$3:$O$3,0)),"")</f>
        <v>1</v>
      </c>
      <c r="O74" s="379">
        <f>IFERROR(INDEX('AFA-E_ANTC'!$J$5:$O$48,MATCH($B74,'AFA-E_ANTC'!$A$5:$A$48,0),MATCH(O$5,'AFA-E_ANTC'!$J$3:$O$3,0)),"")</f>
        <v>1</v>
      </c>
      <c r="P74" s="379">
        <f>IFERROR(INDEX('AFA-E_ANTC'!$P$5:$P$48,MATCH($B74,'AFA-E_ANTC'!$A$5:$A$48,0)),"")</f>
        <v>1</v>
      </c>
      <c r="Q74" s="381">
        <f>IFERROR(INDEX('RESID-E_ANTC'!$M$5:$T$48,MATCH($B74,'RESID-E_ANTC'!$A$5:$A$48,0),MATCH(Q$5,'RESID-E_ANTC'!$M$3:$T$3,0)),"")</f>
        <v>68.938999999999993</v>
      </c>
      <c r="R74" s="381">
        <f>IFERROR(INDEX('RESID-E_ANTC'!$M$5:$T$48,MATCH($B74,'RESID-E_ANTC'!$A$5:$A$48,0),MATCH(R$5,'RESID-E_ANTC'!$M$3:$T$3,0)),"")</f>
        <v>68.938999999999993</v>
      </c>
      <c r="S74" s="381">
        <f>IFERROR(INDEX('RESID-E_ANTC'!$M$5:$T$48,MATCH($B74,'RESID-E_ANTC'!$A$5:$A$48,0),MATCH(S$5,'RESID-E_ANTC'!$M$3:$T$3,0)),"")</f>
        <v>68.938999999999993</v>
      </c>
      <c r="T74" s="381">
        <f>IFERROR(INDEX('RESID-E_ANTC'!$M$5:$T$48,MATCH($B74,'RESID-E_ANTC'!$A$5:$A$48,0),MATCH(T$5,'RESID-E_ANTC'!$M$3:$T$3,0)),"")</f>
        <v>0</v>
      </c>
      <c r="U74" s="381">
        <f>IFERROR(INDEX('RESID-E_ANTC'!$M$5:$T$48,MATCH($B74,'RESID-E_ANTC'!$A$5:$A$48,0),MATCH(U$5,'RESID-E_ANTC'!$M$3:$T$3,0)),"")</f>
        <v>0</v>
      </c>
      <c r="V74" s="231">
        <v>3</v>
      </c>
      <c r="W74" s="231">
        <v>0</v>
      </c>
    </row>
    <row r="75" spans="2:23" x14ac:dyDescent="0.25">
      <c r="B75" s="385" t="str">
        <f>IF(ITEMS_Tech_E!D75="","",ITEMS_Tech_E!D75)</f>
        <v>TADJETOKE-E</v>
      </c>
      <c r="C75" s="232" t="str">
        <f>IF(ITEMS_Tech_E!E75="","",ITEMS_Tech_E!E75)</f>
        <v>Transport Other -  Aviation Dom Jet Fuel -E</v>
      </c>
      <c r="D75" s="219" t="s">
        <v>802</v>
      </c>
      <c r="E75" s="219" t="s">
        <v>452</v>
      </c>
      <c r="F75" s="377">
        <f>IFERROR(INDEX('EFF-E_ANTC'!$C$4:$H$47,MATCH($B75,'EFF-E_ANTC'!$A$4:$A$47,0),MATCH(F$5,'EFF-E_ANTC'!$C$3:$H$3,0)),"")</f>
        <v>1</v>
      </c>
      <c r="G75" s="377">
        <f>IFERROR(INDEX('EFF-E_ANTC'!$C$4:$H$47,MATCH($B75,'EFF-E_ANTC'!$A$4:$A$47,0),MATCH(G$5,'EFF-E_ANTC'!$C$3:$H$3,0)),"")</f>
        <v>1</v>
      </c>
      <c r="H75" s="377">
        <f>IFERROR(INDEX('EFF-E_ANTC'!$C$4:$H$47,MATCH($B75,'EFF-E_ANTC'!$A$4:$A$47,0),MATCH(H$5,'EFF-E_ANTC'!$C$3:$H$3,0)),"")</f>
        <v>1</v>
      </c>
      <c r="I75" s="377">
        <f>IFERROR(INDEX('EFF-E_ANTC'!$C$4:$H$47,MATCH($B75,'EFF-E_ANTC'!$A$4:$A$47,0),MATCH(I$5,'EFF-E_ANTC'!$C$3:$H$3,0)),"")</f>
        <v>1</v>
      </c>
      <c r="J75" s="377">
        <f>IFERROR(INDEX('EFF-E_ANTC'!$C$4:$H$47,MATCH($B75,'EFF-E_ANTC'!$A$4:$A$47,0),MATCH(J$5,'EFF-E_ANTC'!$C$3:$H$3,0)),"")</f>
        <v>1</v>
      </c>
      <c r="K75" s="379">
        <f>IFERROR(INDEX('AFA-E_ANTC'!$J$5:$O$48,MATCH($B75,'AFA-E_ANTC'!$A$5:$A$48,0),MATCH(K$5,'AFA-E_ANTC'!$J$3:$O$3,0)),"")</f>
        <v>1</v>
      </c>
      <c r="L75" s="379">
        <f>IFERROR(INDEX('AFA-E_ANTC'!$J$5:$O$48,MATCH($B75,'AFA-E_ANTC'!$A$5:$A$48,0),MATCH(L$5,'AFA-E_ANTC'!$J$3:$O$3,0)),"")</f>
        <v>1</v>
      </c>
      <c r="M75" s="379">
        <f>IFERROR(INDEX('AFA-E_ANTC'!$J$5:$O$48,MATCH($B75,'AFA-E_ANTC'!$A$5:$A$48,0),MATCH(M$5,'AFA-E_ANTC'!$J$3:$O$3,0)),"")</f>
        <v>1</v>
      </c>
      <c r="N75" s="379">
        <f>IFERROR(INDEX('AFA-E_ANTC'!$J$5:$O$48,MATCH($B75,'AFA-E_ANTC'!$A$5:$A$48,0),MATCH(N$5,'AFA-E_ANTC'!$J$3:$O$3,0)),"")</f>
        <v>1</v>
      </c>
      <c r="O75" s="379">
        <f>IFERROR(INDEX('AFA-E_ANTC'!$J$5:$O$48,MATCH($B75,'AFA-E_ANTC'!$A$5:$A$48,0),MATCH(O$5,'AFA-E_ANTC'!$J$3:$O$3,0)),"")</f>
        <v>1</v>
      </c>
      <c r="P75" s="379">
        <f>IFERROR(INDEX('AFA-E_ANTC'!$P$5:$P$48,MATCH($B75,'AFA-E_ANTC'!$A$5:$A$48,0)),"")</f>
        <v>1</v>
      </c>
      <c r="Q75" s="381">
        <f>IFERROR(INDEX('RESID-E_ANTC'!$M$5:$T$48,MATCH($B75,'RESID-E_ANTC'!$A$5:$A$48,0),MATCH(Q$5,'RESID-E_ANTC'!$M$3:$T$3,0)),"")</f>
        <v>20.483000000000001</v>
      </c>
      <c r="R75" s="381">
        <f>IFERROR(INDEX('RESID-E_ANTC'!$M$5:$T$48,MATCH($B75,'RESID-E_ANTC'!$A$5:$A$48,0),MATCH(R$5,'RESID-E_ANTC'!$M$3:$T$3,0)),"")</f>
        <v>20.483000000000001</v>
      </c>
      <c r="S75" s="381">
        <f>IFERROR(INDEX('RESID-E_ANTC'!$M$5:$T$48,MATCH($B75,'RESID-E_ANTC'!$A$5:$A$48,0),MATCH(S$5,'RESID-E_ANTC'!$M$3:$T$3,0)),"")</f>
        <v>20.483000000000001</v>
      </c>
      <c r="T75" s="381">
        <f>IFERROR(INDEX('RESID-E_ANTC'!$M$5:$T$48,MATCH($B75,'RESID-E_ANTC'!$A$5:$A$48,0),MATCH(T$5,'RESID-E_ANTC'!$M$3:$T$3,0)),"")</f>
        <v>0</v>
      </c>
      <c r="U75" s="381">
        <f>IFERROR(INDEX('RESID-E_ANTC'!$M$5:$T$48,MATCH($B75,'RESID-E_ANTC'!$A$5:$A$48,0),MATCH(U$5,'RESID-E_ANTC'!$M$3:$T$3,0)),"")</f>
        <v>0</v>
      </c>
      <c r="V75" s="231">
        <v>3</v>
      </c>
      <c r="W75" s="231">
        <v>0</v>
      </c>
    </row>
    <row r="76" spans="2:23" x14ac:dyDescent="0.25">
      <c r="B76" s="385" t="str">
        <f>IF(ITEMS_Tech_E!D76="","",ITEMS_Tech_E!D76)</f>
        <v>TAOAGOAG-E</v>
      </c>
      <c r="C76" s="232" t="str">
        <f>IF(ITEMS_Tech_E!E76="","",ITEMS_Tech_E!E76)</f>
        <v>Transport Other - Aviation Gasoline-E</v>
      </c>
      <c r="D76" s="219" t="s">
        <v>800</v>
      </c>
      <c r="E76" s="219" t="s">
        <v>454</v>
      </c>
      <c r="F76" s="377">
        <f>IFERROR(INDEX('EFF-E_ANTC'!$C$4:$H$47,MATCH($B76,'EFF-E_ANTC'!$A$4:$A$47,0),MATCH(F$5,'EFF-E_ANTC'!$C$3:$H$3,0)),"")</f>
        <v>1</v>
      </c>
      <c r="G76" s="377">
        <f>IFERROR(INDEX('EFF-E_ANTC'!$C$4:$H$47,MATCH($B76,'EFF-E_ANTC'!$A$4:$A$47,0),MATCH(G$5,'EFF-E_ANTC'!$C$3:$H$3,0)),"")</f>
        <v>1</v>
      </c>
      <c r="H76" s="377">
        <f>IFERROR(INDEX('EFF-E_ANTC'!$C$4:$H$47,MATCH($B76,'EFF-E_ANTC'!$A$4:$A$47,0),MATCH(H$5,'EFF-E_ANTC'!$C$3:$H$3,0)),"")</f>
        <v>1</v>
      </c>
      <c r="I76" s="377">
        <f>IFERROR(INDEX('EFF-E_ANTC'!$C$4:$H$47,MATCH($B76,'EFF-E_ANTC'!$A$4:$A$47,0),MATCH(I$5,'EFF-E_ANTC'!$C$3:$H$3,0)),"")</f>
        <v>1</v>
      </c>
      <c r="J76" s="377">
        <f>IFERROR(INDEX('EFF-E_ANTC'!$C$4:$H$47,MATCH($B76,'EFF-E_ANTC'!$A$4:$A$47,0),MATCH(J$5,'EFF-E_ANTC'!$C$3:$H$3,0)),"")</f>
        <v>1</v>
      </c>
      <c r="K76" s="379">
        <f>IFERROR(INDEX('AFA-E_ANTC'!$J$5:$O$48,MATCH($B76,'AFA-E_ANTC'!$A$5:$A$48,0),MATCH(K$5,'AFA-E_ANTC'!$J$3:$O$3,0)),"")</f>
        <v>1</v>
      </c>
      <c r="L76" s="379">
        <f>IFERROR(INDEX('AFA-E_ANTC'!$J$5:$O$48,MATCH($B76,'AFA-E_ANTC'!$A$5:$A$48,0),MATCH(L$5,'AFA-E_ANTC'!$J$3:$O$3,0)),"")</f>
        <v>1</v>
      </c>
      <c r="M76" s="379">
        <f>IFERROR(INDEX('AFA-E_ANTC'!$J$5:$O$48,MATCH($B76,'AFA-E_ANTC'!$A$5:$A$48,0),MATCH(M$5,'AFA-E_ANTC'!$J$3:$O$3,0)),"")</f>
        <v>1</v>
      </c>
      <c r="N76" s="379">
        <f>IFERROR(INDEX('AFA-E_ANTC'!$J$5:$O$48,MATCH($B76,'AFA-E_ANTC'!$A$5:$A$48,0),MATCH(N$5,'AFA-E_ANTC'!$J$3:$O$3,0)),"")</f>
        <v>1</v>
      </c>
      <c r="O76" s="379">
        <f>IFERROR(INDEX('AFA-E_ANTC'!$J$5:$O$48,MATCH($B76,'AFA-E_ANTC'!$A$5:$A$48,0),MATCH(O$5,'AFA-E_ANTC'!$J$3:$O$3,0)),"")</f>
        <v>1</v>
      </c>
      <c r="P76" s="379">
        <f>IFERROR(INDEX('AFA-E_ANTC'!$P$5:$P$48,MATCH($B76,'AFA-E_ANTC'!$A$5:$A$48,0)),"")</f>
        <v>1</v>
      </c>
      <c r="Q76" s="381">
        <f>IFERROR(INDEX('RESID-E_ANTC'!$M$5:$T$48,MATCH($B76,'RESID-E_ANTC'!$A$5:$A$48,0),MATCH(Q$5,'RESID-E_ANTC'!$M$3:$T$3,0)),"")</f>
        <v>0.82200000000000006</v>
      </c>
      <c r="R76" s="381">
        <f>IFERROR(INDEX('RESID-E_ANTC'!$M$5:$T$48,MATCH($B76,'RESID-E_ANTC'!$A$5:$A$48,0),MATCH(R$5,'RESID-E_ANTC'!$M$3:$T$3,0)),"")</f>
        <v>0.82200000000000006</v>
      </c>
      <c r="S76" s="381">
        <f>IFERROR(INDEX('RESID-E_ANTC'!$M$5:$T$48,MATCH($B76,'RESID-E_ANTC'!$A$5:$A$48,0),MATCH(S$5,'RESID-E_ANTC'!$M$3:$T$3,0)),"")</f>
        <v>0.82200000000000006</v>
      </c>
      <c r="T76" s="381">
        <f>IFERROR(INDEX('RESID-E_ANTC'!$M$5:$T$48,MATCH($B76,'RESID-E_ANTC'!$A$5:$A$48,0),MATCH(T$5,'RESID-E_ANTC'!$M$3:$T$3,0)),"")</f>
        <v>0</v>
      </c>
      <c r="U76" s="381">
        <f>IFERROR(INDEX('RESID-E_ANTC'!$M$5:$T$48,MATCH($B76,'RESID-E_ANTC'!$A$5:$A$48,0),MATCH(U$5,'RESID-E_ANTC'!$M$3:$T$3,0)),"")</f>
        <v>0</v>
      </c>
      <c r="V76" s="231">
        <v>3</v>
      </c>
      <c r="W76" s="231">
        <v>0</v>
      </c>
    </row>
    <row r="77" spans="2:23" x14ac:dyDescent="0.25">
      <c r="B77" s="385" t="str">
        <f>IF(ITEMS_Tech_E!D77="","",ITEMS_Tech_E!D77)</f>
        <v>TSHFOOHF-E</v>
      </c>
      <c r="C77" s="232" t="str">
        <f>IF(ITEMS_Tech_E!E77="","",ITEMS_Tech_E!E77)</f>
        <v>Transport Other - HFO-E</v>
      </c>
      <c r="D77" s="219" t="s">
        <v>801</v>
      </c>
      <c r="E77" s="219" t="s">
        <v>456</v>
      </c>
      <c r="F77" s="377">
        <f>IFERROR(INDEX('EFF-E_ANTC'!$C$4:$H$47,MATCH($B77,'EFF-E_ANTC'!$A$4:$A$47,0),MATCH(F$5,'EFF-E_ANTC'!$C$3:$H$3,0)),"")</f>
        <v>1</v>
      </c>
      <c r="G77" s="377">
        <f>IFERROR(INDEX('EFF-E_ANTC'!$C$4:$H$47,MATCH($B77,'EFF-E_ANTC'!$A$4:$A$47,0),MATCH(G$5,'EFF-E_ANTC'!$C$3:$H$3,0)),"")</f>
        <v>1</v>
      </c>
      <c r="H77" s="377">
        <f>IFERROR(INDEX('EFF-E_ANTC'!$C$4:$H$47,MATCH($B77,'EFF-E_ANTC'!$A$4:$A$47,0),MATCH(H$5,'EFF-E_ANTC'!$C$3:$H$3,0)),"")</f>
        <v>1</v>
      </c>
      <c r="I77" s="377">
        <f>IFERROR(INDEX('EFF-E_ANTC'!$C$4:$H$47,MATCH($B77,'EFF-E_ANTC'!$A$4:$A$47,0),MATCH(I$5,'EFF-E_ANTC'!$C$3:$H$3,0)),"")</f>
        <v>1</v>
      </c>
      <c r="J77" s="377">
        <f>IFERROR(INDEX('EFF-E_ANTC'!$C$4:$H$47,MATCH($B77,'EFF-E_ANTC'!$A$4:$A$47,0),MATCH(J$5,'EFF-E_ANTC'!$C$3:$H$3,0)),"")</f>
        <v>1</v>
      </c>
      <c r="K77" s="379">
        <f>IFERROR(INDEX('AFA-E_ANTC'!$J$5:$O$48,MATCH($B77,'AFA-E_ANTC'!$A$5:$A$48,0),MATCH(K$5,'AFA-E_ANTC'!$J$3:$O$3,0)),"")</f>
        <v>1</v>
      </c>
      <c r="L77" s="379">
        <f>IFERROR(INDEX('AFA-E_ANTC'!$J$5:$O$48,MATCH($B77,'AFA-E_ANTC'!$A$5:$A$48,0),MATCH(L$5,'AFA-E_ANTC'!$J$3:$O$3,0)),"")</f>
        <v>1</v>
      </c>
      <c r="M77" s="379">
        <f>IFERROR(INDEX('AFA-E_ANTC'!$J$5:$O$48,MATCH($B77,'AFA-E_ANTC'!$A$5:$A$48,0),MATCH(M$5,'AFA-E_ANTC'!$J$3:$O$3,0)),"")</f>
        <v>1</v>
      </c>
      <c r="N77" s="379">
        <f>IFERROR(INDEX('AFA-E_ANTC'!$J$5:$O$48,MATCH($B77,'AFA-E_ANTC'!$A$5:$A$48,0),MATCH(N$5,'AFA-E_ANTC'!$J$3:$O$3,0)),"")</f>
        <v>1</v>
      </c>
      <c r="O77" s="379">
        <f>IFERROR(INDEX('AFA-E_ANTC'!$J$5:$O$48,MATCH($B77,'AFA-E_ANTC'!$A$5:$A$48,0),MATCH(O$5,'AFA-E_ANTC'!$J$3:$O$3,0)),"")</f>
        <v>1</v>
      </c>
      <c r="P77" s="379">
        <f>IFERROR(INDEX('AFA-E_ANTC'!$P$5:$P$48,MATCH($B77,'AFA-E_ANTC'!$A$5:$A$48,0)),"")</f>
        <v>1</v>
      </c>
      <c r="Q77" s="381">
        <f>IFERROR(INDEX('RESID-E_ANTC'!$M$5:$T$48,MATCH($B77,'RESID-E_ANTC'!$A$5:$A$48,0),MATCH(Q$5,'RESID-E_ANTC'!$M$3:$T$3,0)),"")</f>
        <v>2.77</v>
      </c>
      <c r="R77" s="381">
        <f>IFERROR(INDEX('RESID-E_ANTC'!$M$5:$T$48,MATCH($B77,'RESID-E_ANTC'!$A$5:$A$48,0),MATCH(R$5,'RESID-E_ANTC'!$M$3:$T$3,0)),"")</f>
        <v>2.77</v>
      </c>
      <c r="S77" s="381">
        <f>IFERROR(INDEX('RESID-E_ANTC'!$M$5:$T$48,MATCH($B77,'RESID-E_ANTC'!$A$5:$A$48,0),MATCH(S$5,'RESID-E_ANTC'!$M$3:$T$3,0)),"")</f>
        <v>2.77</v>
      </c>
      <c r="T77" s="381">
        <f>IFERROR(INDEX('RESID-E_ANTC'!$M$5:$T$48,MATCH($B77,'RESID-E_ANTC'!$A$5:$A$48,0),MATCH(T$5,'RESID-E_ANTC'!$M$3:$T$3,0)),"")</f>
        <v>0</v>
      </c>
      <c r="U77" s="381">
        <f>IFERROR(INDEX('RESID-E_ANTC'!$M$5:$T$48,MATCH($B77,'RESID-E_ANTC'!$A$5:$A$48,0),MATCH(U$5,'RESID-E_ANTC'!$M$3:$T$3,0)),"")</f>
        <v>0</v>
      </c>
      <c r="V77" s="231">
        <v>3</v>
      </c>
      <c r="W77" s="231">
        <v>0</v>
      </c>
    </row>
    <row r="78" spans="2:23" x14ac:dyDescent="0.25">
      <c r="B78" s="385" t="str">
        <f>IF(ITEMS_Tech_E!D78="","",ITEMS_Tech_E!D78)</f>
        <v>*</v>
      </c>
      <c r="C78" s="232" t="str">
        <f>IF(ITEMS_Tech_E!E78="","",ITEMS_Tech_E!E78)</f>
        <v/>
      </c>
      <c r="D78" s="374"/>
      <c r="E78" s="374"/>
      <c r="F78" s="377">
        <f>IFERROR(INDEX('EFF-E_ANTC'!$C$4:$H$47,MATCH($B78,'EFF-E_ANTC'!$A$4:$A$47,0),MATCH(F$5,'EFF-E_ANTC'!$C$3:$H$3,0)),"")</f>
        <v>6.4348339348895098E-2</v>
      </c>
      <c r="G78" s="377">
        <f>IFERROR(INDEX('EFF-E_ANTC'!$C$4:$H$47,MATCH($B78,'EFF-E_ANTC'!$A$4:$A$47,0),MATCH(G$5,'EFF-E_ANTC'!$C$3:$H$3,0)),"")</f>
        <v>6.4532835825940396E-2</v>
      </c>
      <c r="H78" s="377">
        <f>IFERROR(INDEX('EFF-E_ANTC'!$C$4:$H$47,MATCH($B78,'EFF-E_ANTC'!$A$4:$A$47,0),MATCH(H$5,'EFF-E_ANTC'!$C$3:$H$3,0)),"")</f>
        <v>6.5227894002483106E-2</v>
      </c>
      <c r="I78" s="377">
        <f>IFERROR(INDEX('EFF-E_ANTC'!$C$4:$H$47,MATCH($B78,'EFF-E_ANTC'!$A$4:$A$47,0),MATCH(I$5,'EFF-E_ANTC'!$C$3:$H$3,0)),"")</f>
        <v>6.6011283101863896E-2</v>
      </c>
      <c r="J78" s="377">
        <f>IFERROR(INDEX('EFF-E_ANTC'!$C$4:$H$47,MATCH($B78,'EFF-E_ANTC'!$A$4:$A$47,0),MATCH(J$5,'EFF-E_ANTC'!$C$3:$H$3,0)),"")</f>
        <v>6.6777008175099004E-2</v>
      </c>
      <c r="K78" s="379">
        <f>IFERROR(INDEX('AFA-E_ANTC'!$J$5:$O$48,MATCH($B78,'AFA-E_ANTC'!$A$5:$A$48,0),MATCH(K$5,'AFA-E_ANTC'!$J$3:$O$3,0)),"")</f>
        <v>0.42532283795650333</v>
      </c>
      <c r="L78" s="379">
        <f>IFERROR(INDEX('AFA-E_ANTC'!$J$5:$O$48,MATCH($B78,'AFA-E_ANTC'!$A$5:$A$48,0),MATCH(L$5,'AFA-E_ANTC'!$J$3:$O$3,0)),"")</f>
        <v>0.33706878442068333</v>
      </c>
      <c r="M78" s="379">
        <f>IFERROR(INDEX('AFA-E_ANTC'!$J$5:$O$48,MATCH($B78,'AFA-E_ANTC'!$A$5:$A$48,0),MATCH(M$5,'AFA-E_ANTC'!$J$3:$O$3,0)),"")</f>
        <v>0.15171434294469499</v>
      </c>
      <c r="N78" s="379">
        <f>IFERROR(INDEX('AFA-E_ANTC'!$J$5:$O$48,MATCH($B78,'AFA-E_ANTC'!$A$5:$A$48,0),MATCH(N$5,'AFA-E_ANTC'!$J$3:$O$3,0)),"")</f>
        <v>6.6477490540613332E-2</v>
      </c>
      <c r="O78" s="379">
        <f>IFERROR(INDEX('AFA-E_ANTC'!$J$5:$O$48,MATCH($B78,'AFA-E_ANTC'!$A$5:$A$48,0),MATCH(O$5,'AFA-E_ANTC'!$J$3:$O$3,0)),"")</f>
        <v>2.8637041139474666E-2</v>
      </c>
      <c r="P78" s="379">
        <f>IFERROR(INDEX('AFA-E_ANTC'!$P$5:$P$48,MATCH($B78,'AFA-E_ANTC'!$A$5:$A$48,0)),"")</f>
        <v>0.06</v>
      </c>
      <c r="Q78" s="381">
        <f>IFERROR(INDEX('RESID-E_ANTC'!$M$5:$T$48,MATCH($B78,'RESID-E_ANTC'!$A$5:$A$48,0),MATCH(Q$5,'RESID-E_ANTC'!$M$3:$T$3,0)),"")</f>
        <v>25.1952522652347</v>
      </c>
      <c r="R78" s="381">
        <f>IFERROR(INDEX('RESID-E_ANTC'!$M$5:$T$48,MATCH($B78,'RESID-E_ANTC'!$A$5:$A$48,0),MATCH(R$5,'RESID-E_ANTC'!$M$3:$T$3,0)),"")</f>
        <v>23.083651962362801</v>
      </c>
      <c r="S78" s="381">
        <f>IFERROR(INDEX('RESID-E_ANTC'!$M$5:$T$48,MATCH($B78,'RESID-E_ANTC'!$A$5:$A$48,0),MATCH(S$5,'RESID-E_ANTC'!$M$3:$T$3,0)),"")</f>
        <v>15.5161252325553</v>
      </c>
      <c r="T78" s="381">
        <f>IFERROR(INDEX('RESID-E_ANTC'!$M$5:$T$48,MATCH($B78,'RESID-E_ANTC'!$A$5:$A$48,0),MATCH(T$5,'RESID-E_ANTC'!$M$3:$T$3,0)),"")</f>
        <v>0</v>
      </c>
      <c r="U78" s="381">
        <f>IFERROR(INDEX('RESID-E_ANTC'!$M$5:$T$48,MATCH($B78,'RESID-E_ANTC'!$A$5:$A$48,0),MATCH(U$5,'RESID-E_ANTC'!$M$3:$T$3,0)),"")</f>
        <v>0</v>
      </c>
      <c r="V78" s="231"/>
      <c r="W78" s="231"/>
    </row>
    <row r="79" spans="2:23" x14ac:dyDescent="0.25">
      <c r="B79" s="385" t="str">
        <f>IF(ITEMS_Tech_E!D78="","",ITEMS_Tech_E!D78)</f>
        <v>*</v>
      </c>
      <c r="C79" s="232" t="str">
        <f>IF(ITEMS_Tech_E!E78="","",ITEMS_Tech_E!E78)</f>
        <v/>
      </c>
      <c r="D79" s="374"/>
      <c r="E79" s="374"/>
      <c r="F79" s="377">
        <f>IFERROR(INDEX('EFF-E_ANTC'!$C$4:$H$47,MATCH($B79,'EFF-E_ANTC'!$A$4:$A$47,0),MATCH(F$5,'EFF-E_ANTC'!$C$3:$H$3,0)),"")</f>
        <v>6.4348339348895098E-2</v>
      </c>
      <c r="G79" s="377">
        <f>IFERROR(INDEX('EFF-E_ANTC'!$C$4:$H$47,MATCH($B79,'EFF-E_ANTC'!$A$4:$A$47,0),MATCH(G$5,'EFF-E_ANTC'!$C$3:$H$3,0)),"")</f>
        <v>6.4532835825940396E-2</v>
      </c>
      <c r="H79" s="377">
        <f>IFERROR(INDEX('EFF-E_ANTC'!$C$4:$H$47,MATCH($B79,'EFF-E_ANTC'!$A$4:$A$47,0),MATCH(H$5,'EFF-E_ANTC'!$C$3:$H$3,0)),"")</f>
        <v>6.5227894002483106E-2</v>
      </c>
      <c r="I79" s="377">
        <f>IFERROR(INDEX('EFF-E_ANTC'!$C$4:$H$47,MATCH($B79,'EFF-E_ANTC'!$A$4:$A$47,0),MATCH(I$5,'EFF-E_ANTC'!$C$3:$H$3,0)),"")</f>
        <v>6.6011283101863896E-2</v>
      </c>
      <c r="J79" s="377">
        <f>IFERROR(INDEX('EFF-E_ANTC'!$C$4:$H$47,MATCH($B79,'EFF-E_ANTC'!$A$4:$A$47,0),MATCH(J$5,'EFF-E_ANTC'!$C$3:$H$3,0)),"")</f>
        <v>6.6777008175099004E-2</v>
      </c>
      <c r="K79" s="379">
        <f>IFERROR(INDEX('AFA-E_ANTC'!$J$5:$O$48,MATCH($B79,'AFA-E_ANTC'!$A$5:$A$48,0),MATCH(K$5,'AFA-E_ANTC'!$J$3:$O$3,0)),"")</f>
        <v>0.42532283795650333</v>
      </c>
      <c r="L79" s="379">
        <f>IFERROR(INDEX('AFA-E_ANTC'!$J$5:$O$48,MATCH($B79,'AFA-E_ANTC'!$A$5:$A$48,0),MATCH(L$5,'AFA-E_ANTC'!$J$3:$O$3,0)),"")</f>
        <v>0.33706878442068333</v>
      </c>
      <c r="M79" s="379">
        <f>IFERROR(INDEX('AFA-E_ANTC'!$J$5:$O$48,MATCH($B79,'AFA-E_ANTC'!$A$5:$A$48,0),MATCH(M$5,'AFA-E_ANTC'!$J$3:$O$3,0)),"")</f>
        <v>0.15171434294469499</v>
      </c>
      <c r="N79" s="379">
        <f>IFERROR(INDEX('AFA-E_ANTC'!$J$5:$O$48,MATCH($B79,'AFA-E_ANTC'!$A$5:$A$48,0),MATCH(N$5,'AFA-E_ANTC'!$J$3:$O$3,0)),"")</f>
        <v>6.6477490540613332E-2</v>
      </c>
      <c r="O79" s="379">
        <f>IFERROR(INDEX('AFA-E_ANTC'!$J$5:$O$48,MATCH($B79,'AFA-E_ANTC'!$A$5:$A$48,0),MATCH(O$5,'AFA-E_ANTC'!$J$3:$O$3,0)),"")</f>
        <v>2.8637041139474666E-2</v>
      </c>
      <c r="P79" s="379">
        <f>IFERROR(INDEX('AFA-E_ANTC'!$P$5:$P$48,MATCH($B79,'AFA-E_ANTC'!$A$5:$A$48,0)),"")</f>
        <v>0.06</v>
      </c>
      <c r="Q79" s="381">
        <f>IFERROR(INDEX('RESID-E_ANTC'!$M$5:$T$48,MATCH($B79,'RESID-E_ANTC'!$A$5:$A$48,0),MATCH(Q$5,'RESID-E_ANTC'!$M$3:$T$3,0)),"")</f>
        <v>25.1952522652347</v>
      </c>
      <c r="R79" s="381">
        <f>IFERROR(INDEX('RESID-E_ANTC'!$M$5:$T$48,MATCH($B79,'RESID-E_ANTC'!$A$5:$A$48,0),MATCH(R$5,'RESID-E_ANTC'!$M$3:$T$3,0)),"")</f>
        <v>23.083651962362801</v>
      </c>
      <c r="S79" s="381">
        <f>IFERROR(INDEX('RESID-E_ANTC'!$M$5:$T$48,MATCH($B79,'RESID-E_ANTC'!$A$5:$A$48,0),MATCH(S$5,'RESID-E_ANTC'!$M$3:$T$3,0)),"")</f>
        <v>15.5161252325553</v>
      </c>
      <c r="T79" s="381">
        <f>IFERROR(INDEX('RESID-E_ANTC'!$M$5:$T$48,MATCH($B79,'RESID-E_ANTC'!$A$5:$A$48,0),MATCH(T$5,'RESID-E_ANTC'!$M$3:$T$3,0)),"")</f>
        <v>0</v>
      </c>
      <c r="U79" s="381">
        <f>IFERROR(INDEX('RESID-E_ANTC'!$M$5:$T$48,MATCH($B79,'RESID-E_ANTC'!$A$5:$A$48,0),MATCH(U$5,'RESID-E_ANTC'!$M$3:$T$3,0)),"")</f>
        <v>0</v>
      </c>
      <c r="V79" s="231"/>
      <c r="W79" s="231"/>
    </row>
    <row r="80" spans="2:23" x14ac:dyDescent="0.25">
      <c r="B80" s="385" t="str">
        <f>IF(ITEMS_Tech_E!D79="","",ITEMS_Tech_E!D79)</f>
        <v>*</v>
      </c>
      <c r="C80" s="232" t="str">
        <f>IF(ITEMS_Tech_E!E79="","",ITEMS_Tech_E!E79)</f>
        <v/>
      </c>
      <c r="D80" s="374"/>
      <c r="E80" s="374"/>
      <c r="F80" s="377">
        <f>IFERROR(INDEX('EFF-E_ANTC'!$C$4:$H$47,MATCH($B80,'EFF-E_ANTC'!$A$4:$A$47,0),MATCH(F$5,'EFF-E_ANTC'!$C$3:$H$3,0)),"")</f>
        <v>6.4348339348895098E-2</v>
      </c>
      <c r="G80" s="377">
        <f>IFERROR(INDEX('EFF-E_ANTC'!$C$4:$H$47,MATCH($B80,'EFF-E_ANTC'!$A$4:$A$47,0),MATCH(G$5,'EFF-E_ANTC'!$C$3:$H$3,0)),"")</f>
        <v>6.4532835825940396E-2</v>
      </c>
      <c r="H80" s="377">
        <f>IFERROR(INDEX('EFF-E_ANTC'!$C$4:$H$47,MATCH($B80,'EFF-E_ANTC'!$A$4:$A$47,0),MATCH(H$5,'EFF-E_ANTC'!$C$3:$H$3,0)),"")</f>
        <v>6.5227894002483106E-2</v>
      </c>
      <c r="I80" s="377">
        <f>IFERROR(INDEX('EFF-E_ANTC'!$C$4:$H$47,MATCH($B80,'EFF-E_ANTC'!$A$4:$A$47,0),MATCH(I$5,'EFF-E_ANTC'!$C$3:$H$3,0)),"")</f>
        <v>6.6011283101863896E-2</v>
      </c>
      <c r="J80" s="377">
        <f>IFERROR(INDEX('EFF-E_ANTC'!$C$4:$H$47,MATCH($B80,'EFF-E_ANTC'!$A$4:$A$47,0),MATCH(J$5,'EFF-E_ANTC'!$C$3:$H$3,0)),"")</f>
        <v>6.6777008175099004E-2</v>
      </c>
      <c r="K80" s="379">
        <f>IFERROR(INDEX('AFA-E_ANTC'!$J$5:$O$48,MATCH($B80,'AFA-E_ANTC'!$A$5:$A$48,0),MATCH(K$5,'AFA-E_ANTC'!$J$3:$O$3,0)),"")</f>
        <v>0.42532283795650333</v>
      </c>
      <c r="L80" s="379">
        <f>IFERROR(INDEX('AFA-E_ANTC'!$J$5:$O$48,MATCH($B80,'AFA-E_ANTC'!$A$5:$A$48,0),MATCH(L$5,'AFA-E_ANTC'!$J$3:$O$3,0)),"")</f>
        <v>0.33706878442068333</v>
      </c>
      <c r="M80" s="379">
        <f>IFERROR(INDEX('AFA-E_ANTC'!$J$5:$O$48,MATCH($B80,'AFA-E_ANTC'!$A$5:$A$48,0),MATCH(M$5,'AFA-E_ANTC'!$J$3:$O$3,0)),"")</f>
        <v>0.15171434294469499</v>
      </c>
      <c r="N80" s="379">
        <f>IFERROR(INDEX('AFA-E_ANTC'!$J$5:$O$48,MATCH($B80,'AFA-E_ANTC'!$A$5:$A$48,0),MATCH(N$5,'AFA-E_ANTC'!$J$3:$O$3,0)),"")</f>
        <v>6.6477490540613332E-2</v>
      </c>
      <c r="O80" s="379">
        <f>IFERROR(INDEX('AFA-E_ANTC'!$J$5:$O$48,MATCH($B80,'AFA-E_ANTC'!$A$5:$A$48,0),MATCH(O$5,'AFA-E_ANTC'!$J$3:$O$3,0)),"")</f>
        <v>2.8637041139474666E-2</v>
      </c>
      <c r="P80" s="379">
        <f>IFERROR(INDEX('AFA-E_ANTC'!$P$5:$P$48,MATCH($B80,'AFA-E_ANTC'!$A$5:$A$48,0)),"")</f>
        <v>0.06</v>
      </c>
      <c r="Q80" s="381">
        <f>IFERROR(INDEX('RESID-E_ANTC'!$M$5:$T$48,MATCH($B80,'RESID-E_ANTC'!$A$5:$A$48,0),MATCH(Q$5,'RESID-E_ANTC'!$M$3:$T$3,0)),"")</f>
        <v>25.1952522652347</v>
      </c>
      <c r="R80" s="381">
        <f>IFERROR(INDEX('RESID-E_ANTC'!$M$5:$T$48,MATCH($B80,'RESID-E_ANTC'!$A$5:$A$48,0),MATCH(R$5,'RESID-E_ANTC'!$M$3:$T$3,0)),"")</f>
        <v>23.083651962362801</v>
      </c>
      <c r="S80" s="381">
        <f>IFERROR(INDEX('RESID-E_ANTC'!$M$5:$T$48,MATCH($B80,'RESID-E_ANTC'!$A$5:$A$48,0),MATCH(S$5,'RESID-E_ANTC'!$M$3:$T$3,0)),"")</f>
        <v>15.5161252325553</v>
      </c>
      <c r="T80" s="381">
        <f>IFERROR(INDEX('RESID-E_ANTC'!$M$5:$T$48,MATCH($B80,'RESID-E_ANTC'!$A$5:$A$48,0),MATCH(T$5,'RESID-E_ANTC'!$M$3:$T$3,0)),"")</f>
        <v>0</v>
      </c>
      <c r="U80" s="381">
        <f>IFERROR(INDEX('RESID-E_ANTC'!$M$5:$T$48,MATCH($B80,'RESID-E_ANTC'!$A$5:$A$48,0),MATCH(U$5,'RESID-E_ANTC'!$M$3:$T$3,0)),"")</f>
        <v>0</v>
      </c>
      <c r="V80" s="231"/>
      <c r="W80" s="231"/>
    </row>
    <row r="81" spans="2:23" x14ac:dyDescent="0.25">
      <c r="B81" s="385" t="str">
        <f>IF(ITEMS_Tech_E!D80="","",ITEMS_Tech_E!D80)</f>
        <v>*</v>
      </c>
      <c r="C81" s="232" t="str">
        <f>IF(ITEMS_Tech_E!E80="","",ITEMS_Tech_E!E80)</f>
        <v/>
      </c>
      <c r="D81" s="374"/>
      <c r="E81" s="374"/>
      <c r="F81" s="377">
        <f>IFERROR(INDEX('EFF-E_ANTC'!$C$4:$H$47,MATCH($B81,'EFF-E_ANTC'!$A$4:$A$47,0),MATCH(F$5,'EFF-E_ANTC'!$C$3:$H$3,0)),"")</f>
        <v>6.4348339348895098E-2</v>
      </c>
      <c r="G81" s="377">
        <f>IFERROR(INDEX('EFF-E_ANTC'!$C$4:$H$47,MATCH($B81,'EFF-E_ANTC'!$A$4:$A$47,0),MATCH(G$5,'EFF-E_ANTC'!$C$3:$H$3,0)),"")</f>
        <v>6.4532835825940396E-2</v>
      </c>
      <c r="H81" s="377">
        <f>IFERROR(INDEX('EFF-E_ANTC'!$C$4:$H$47,MATCH($B81,'EFF-E_ANTC'!$A$4:$A$47,0),MATCH(H$5,'EFF-E_ANTC'!$C$3:$H$3,0)),"")</f>
        <v>6.5227894002483106E-2</v>
      </c>
      <c r="I81" s="377">
        <f>IFERROR(INDEX('EFF-E_ANTC'!$C$4:$H$47,MATCH($B81,'EFF-E_ANTC'!$A$4:$A$47,0),MATCH(I$5,'EFF-E_ANTC'!$C$3:$H$3,0)),"")</f>
        <v>6.6011283101863896E-2</v>
      </c>
      <c r="J81" s="377">
        <f>IFERROR(INDEX('EFF-E_ANTC'!$C$4:$H$47,MATCH($B81,'EFF-E_ANTC'!$A$4:$A$47,0),MATCH(J$5,'EFF-E_ANTC'!$C$3:$H$3,0)),"")</f>
        <v>6.6777008175099004E-2</v>
      </c>
      <c r="K81" s="379">
        <f>IFERROR(INDEX('AFA-E_ANTC'!$J$5:$O$48,MATCH($B81,'AFA-E_ANTC'!$A$5:$A$48,0),MATCH(K$5,'AFA-E_ANTC'!$J$3:$O$3,0)),"")</f>
        <v>0.42532283795650333</v>
      </c>
      <c r="L81" s="379">
        <f>IFERROR(INDEX('AFA-E_ANTC'!$J$5:$O$48,MATCH($B81,'AFA-E_ANTC'!$A$5:$A$48,0),MATCH(L$5,'AFA-E_ANTC'!$J$3:$O$3,0)),"")</f>
        <v>0.33706878442068333</v>
      </c>
      <c r="M81" s="379">
        <f>IFERROR(INDEX('AFA-E_ANTC'!$J$5:$O$48,MATCH($B81,'AFA-E_ANTC'!$A$5:$A$48,0),MATCH(M$5,'AFA-E_ANTC'!$J$3:$O$3,0)),"")</f>
        <v>0.15171434294469499</v>
      </c>
      <c r="N81" s="379">
        <f>IFERROR(INDEX('AFA-E_ANTC'!$J$5:$O$48,MATCH($B81,'AFA-E_ANTC'!$A$5:$A$48,0),MATCH(N$5,'AFA-E_ANTC'!$J$3:$O$3,0)),"")</f>
        <v>6.6477490540613332E-2</v>
      </c>
      <c r="O81" s="379">
        <f>IFERROR(INDEX('AFA-E_ANTC'!$J$5:$O$48,MATCH($B81,'AFA-E_ANTC'!$A$5:$A$48,0),MATCH(O$5,'AFA-E_ANTC'!$J$3:$O$3,0)),"")</f>
        <v>2.8637041139474666E-2</v>
      </c>
      <c r="P81" s="379">
        <f>IFERROR(INDEX('AFA-E_ANTC'!$P$5:$P$48,MATCH($B81,'AFA-E_ANTC'!$A$5:$A$48,0)),"")</f>
        <v>0.06</v>
      </c>
      <c r="Q81" s="381">
        <f>IFERROR(INDEX('RESID-E_ANTC'!$M$5:$T$48,MATCH($B81,'RESID-E_ANTC'!$A$5:$A$48,0),MATCH(Q$5,'RESID-E_ANTC'!$M$3:$T$3,0)),"")</f>
        <v>25.1952522652347</v>
      </c>
      <c r="R81" s="381">
        <f>IFERROR(INDEX('RESID-E_ANTC'!$M$5:$T$48,MATCH($B81,'RESID-E_ANTC'!$A$5:$A$48,0),MATCH(R$5,'RESID-E_ANTC'!$M$3:$T$3,0)),"")</f>
        <v>23.083651962362801</v>
      </c>
      <c r="S81" s="381">
        <f>IFERROR(INDEX('RESID-E_ANTC'!$M$5:$T$48,MATCH($B81,'RESID-E_ANTC'!$A$5:$A$48,0),MATCH(S$5,'RESID-E_ANTC'!$M$3:$T$3,0)),"")</f>
        <v>15.5161252325553</v>
      </c>
      <c r="T81" s="381">
        <f>IFERROR(INDEX('RESID-E_ANTC'!$M$5:$T$48,MATCH($B81,'RESID-E_ANTC'!$A$5:$A$48,0),MATCH(T$5,'RESID-E_ANTC'!$M$3:$T$3,0)),"")</f>
        <v>0</v>
      </c>
      <c r="U81" s="381">
        <f>IFERROR(INDEX('RESID-E_ANTC'!$M$5:$T$48,MATCH($B81,'RESID-E_ANTC'!$A$5:$A$48,0),MATCH(U$5,'RESID-E_ANTC'!$M$3:$T$3,0)),"")</f>
        <v>0</v>
      </c>
      <c r="V81" s="231"/>
      <c r="W81" s="231"/>
    </row>
    <row r="82" spans="2:23" x14ac:dyDescent="0.25">
      <c r="B82" s="385" t="str">
        <f>IF(ITEMS_Tech_E!D81="","",ITEMS_Tech_E!D81)</f>
        <v>*</v>
      </c>
      <c r="C82" s="232" t="str">
        <f>IF(ITEMS_Tech_E!E81="","",ITEMS_Tech_E!E81)</f>
        <v/>
      </c>
      <c r="D82" s="374"/>
      <c r="E82" s="374"/>
      <c r="F82" s="377">
        <f>IFERROR(INDEX('EFF-E_ANTC'!$C$4:$H$47,MATCH($B82,'EFF-E_ANTC'!$A$4:$A$47,0),MATCH(F$5,'EFF-E_ANTC'!$C$3:$H$3,0)),"")</f>
        <v>6.4348339348895098E-2</v>
      </c>
      <c r="G82" s="377">
        <f>IFERROR(INDEX('EFF-E_ANTC'!$C$4:$H$47,MATCH($B82,'EFF-E_ANTC'!$A$4:$A$47,0),MATCH(G$5,'EFF-E_ANTC'!$C$3:$H$3,0)),"")</f>
        <v>6.4532835825940396E-2</v>
      </c>
      <c r="H82" s="377">
        <f>IFERROR(INDEX('EFF-E_ANTC'!$C$4:$H$47,MATCH($B82,'EFF-E_ANTC'!$A$4:$A$47,0),MATCH(H$5,'EFF-E_ANTC'!$C$3:$H$3,0)),"")</f>
        <v>6.5227894002483106E-2</v>
      </c>
      <c r="I82" s="377">
        <f>IFERROR(INDEX('EFF-E_ANTC'!$C$4:$H$47,MATCH($B82,'EFF-E_ANTC'!$A$4:$A$47,0),MATCH(I$5,'EFF-E_ANTC'!$C$3:$H$3,0)),"")</f>
        <v>6.6011283101863896E-2</v>
      </c>
      <c r="J82" s="377">
        <f>IFERROR(INDEX('EFF-E_ANTC'!$C$4:$H$47,MATCH($B82,'EFF-E_ANTC'!$A$4:$A$47,0),MATCH(J$5,'EFF-E_ANTC'!$C$3:$H$3,0)),"")</f>
        <v>6.6777008175099004E-2</v>
      </c>
      <c r="K82" s="379">
        <f>IFERROR(INDEX('AFA-E_ANTC'!$J$5:$O$48,MATCH($B82,'AFA-E_ANTC'!$A$5:$A$48,0),MATCH(K$5,'AFA-E_ANTC'!$J$3:$O$3,0)),"")</f>
        <v>0.42532283795650333</v>
      </c>
      <c r="L82" s="379">
        <f>IFERROR(INDEX('AFA-E_ANTC'!$J$5:$O$48,MATCH($B82,'AFA-E_ANTC'!$A$5:$A$48,0),MATCH(L$5,'AFA-E_ANTC'!$J$3:$O$3,0)),"")</f>
        <v>0.33706878442068333</v>
      </c>
      <c r="M82" s="379">
        <f>IFERROR(INDEX('AFA-E_ANTC'!$J$5:$O$48,MATCH($B82,'AFA-E_ANTC'!$A$5:$A$48,0),MATCH(M$5,'AFA-E_ANTC'!$J$3:$O$3,0)),"")</f>
        <v>0.15171434294469499</v>
      </c>
      <c r="N82" s="379">
        <f>IFERROR(INDEX('AFA-E_ANTC'!$J$5:$O$48,MATCH($B82,'AFA-E_ANTC'!$A$5:$A$48,0),MATCH(N$5,'AFA-E_ANTC'!$J$3:$O$3,0)),"")</f>
        <v>6.6477490540613332E-2</v>
      </c>
      <c r="O82" s="379">
        <f>IFERROR(INDEX('AFA-E_ANTC'!$J$5:$O$48,MATCH($B82,'AFA-E_ANTC'!$A$5:$A$48,0),MATCH(O$5,'AFA-E_ANTC'!$J$3:$O$3,0)),"")</f>
        <v>2.8637041139474666E-2</v>
      </c>
      <c r="P82" s="379">
        <f>IFERROR(INDEX('AFA-E_ANTC'!$P$5:$P$48,MATCH($B82,'AFA-E_ANTC'!$A$5:$A$48,0)),"")</f>
        <v>0.06</v>
      </c>
      <c r="Q82" s="381">
        <f>IFERROR(INDEX('RESID-E_ANTC'!$M$5:$T$48,MATCH($B82,'RESID-E_ANTC'!$A$5:$A$48,0),MATCH(Q$5,'RESID-E_ANTC'!$M$3:$T$3,0)),"")</f>
        <v>25.1952522652347</v>
      </c>
      <c r="R82" s="381">
        <f>IFERROR(INDEX('RESID-E_ANTC'!$M$5:$T$48,MATCH($B82,'RESID-E_ANTC'!$A$5:$A$48,0),MATCH(R$5,'RESID-E_ANTC'!$M$3:$T$3,0)),"")</f>
        <v>23.083651962362801</v>
      </c>
      <c r="S82" s="381">
        <f>IFERROR(INDEX('RESID-E_ANTC'!$M$5:$T$48,MATCH($B82,'RESID-E_ANTC'!$A$5:$A$48,0),MATCH(S$5,'RESID-E_ANTC'!$M$3:$T$3,0)),"")</f>
        <v>15.5161252325553</v>
      </c>
      <c r="T82" s="381">
        <f>IFERROR(INDEX('RESID-E_ANTC'!$M$5:$T$48,MATCH($B82,'RESID-E_ANTC'!$A$5:$A$48,0),MATCH(T$5,'RESID-E_ANTC'!$M$3:$T$3,0)),"")</f>
        <v>0</v>
      </c>
      <c r="U82" s="381">
        <f>IFERROR(INDEX('RESID-E_ANTC'!$M$5:$T$48,MATCH($B82,'RESID-E_ANTC'!$A$5:$A$48,0),MATCH(U$5,'RESID-E_ANTC'!$M$3:$T$3,0)),"")</f>
        <v>0</v>
      </c>
      <c r="V82" s="231"/>
      <c r="W82" s="231"/>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5" id="{ABFF04A7-AB04-4303-B4E4-B5A3FF2E6D8E}">
            <xm:f>COUNTIF(FNRG_ANTC!$D$4:$D$51,$D6)&lt;1</xm:f>
            <x14:dxf>
              <font>
                <color rgb="FFFF0000"/>
              </font>
              <fill>
                <patternFill patternType="none">
                  <bgColor auto="1"/>
                </patternFill>
              </fill>
            </x14:dxf>
          </x14:cfRule>
          <xm:sqref>D6:D82 V6:V82</xm:sqref>
        </x14:conditionalFormatting>
        <x14:conditionalFormatting xmlns:xm="http://schemas.microsoft.com/office/excel/2006/main">
          <x14:cfRule type="expression" priority="6" id="{56E600D8-EFA7-4F50-B76D-D0459420E710}">
            <xm:f>COUNTIF(FNRG_ANTC!$E$4:$E$51,$E6)&lt;1</xm:f>
            <x14:dxf>
              <font>
                <color rgb="FFFF0000"/>
              </font>
              <fill>
                <patternFill patternType="none">
                  <bgColor auto="1"/>
                </patternFill>
              </fill>
            </x14:dxf>
          </x14:cfRule>
          <xm:sqref>E6:E82 W6:W82</xm:sqref>
        </x14:conditionalFormatting>
      </x14:conditionalFormatting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0910A7-C110-4238-A24A-B4A449145A17}">
  <sheetPr>
    <tabColor theme="6" tint="0.59999389629810485"/>
  </sheetPr>
  <dimension ref="A1:J47"/>
  <sheetViews>
    <sheetView workbookViewId="0"/>
  </sheetViews>
  <sheetFormatPr defaultRowHeight="15" x14ac:dyDescent="0.25"/>
  <cols>
    <col min="1" max="1" width="24.5703125" customWidth="1"/>
    <col min="2" max="2" width="54.42578125" customWidth="1"/>
    <col min="9" max="9" width="39.5703125" customWidth="1"/>
    <col min="10" max="10" width="18.42578125" customWidth="1"/>
  </cols>
  <sheetData>
    <row r="1" spans="1:10" ht="18" thickBot="1" x14ac:dyDescent="0.35">
      <c r="A1" s="1" t="s">
        <v>1103</v>
      </c>
      <c r="C1" t="s">
        <v>570</v>
      </c>
    </row>
    <row r="2" spans="1:10" ht="15.75" thickTop="1" x14ac:dyDescent="0.25">
      <c r="C2" s="77"/>
      <c r="D2" s="77"/>
    </row>
    <row r="3" spans="1:10" ht="15.75" thickBot="1" x14ac:dyDescent="0.3">
      <c r="A3" s="2" t="s">
        <v>1</v>
      </c>
      <c r="B3" s="2" t="s">
        <v>548</v>
      </c>
      <c r="C3" s="2">
        <v>2012</v>
      </c>
      <c r="D3" s="2">
        <v>2017</v>
      </c>
      <c r="E3" s="2">
        <v>2020</v>
      </c>
      <c r="F3" s="2">
        <v>2030</v>
      </c>
      <c r="G3" s="2">
        <v>2040</v>
      </c>
      <c r="H3" s="2">
        <v>2050</v>
      </c>
      <c r="I3" s="2" t="s">
        <v>501</v>
      </c>
      <c r="J3" s="645" t="s">
        <v>1156</v>
      </c>
    </row>
    <row r="4" spans="1:10" x14ac:dyDescent="0.25">
      <c r="A4" s="227" t="s">
        <v>468</v>
      </c>
      <c r="B4" s="220">
        <f>VLOOKUP($A4,ITEMS_Tech_E!$B$7:$E$82,2,FALSE)</f>
        <v>1</v>
      </c>
      <c r="C4" s="392">
        <f>Analytica!Z17</f>
        <v>6.1451225052252298E-2</v>
      </c>
      <c r="D4" s="392">
        <f>Analytica!AA17</f>
        <v>6.4348339348895098E-2</v>
      </c>
      <c r="E4" s="392">
        <f>Analytica!AB17</f>
        <v>6.4532835825940396E-2</v>
      </c>
      <c r="F4" s="392">
        <f>Analytica!AC17</f>
        <v>6.5227894002483106E-2</v>
      </c>
      <c r="G4" s="392">
        <f>Analytica!AD17</f>
        <v>6.6011283101863896E-2</v>
      </c>
      <c r="H4" s="392">
        <f>Analytica!AE17</f>
        <v>6.6777008175099004E-2</v>
      </c>
      <c r="I4" s="342" t="s">
        <v>855</v>
      </c>
      <c r="J4" s="643" t="s">
        <v>957</v>
      </c>
    </row>
    <row r="5" spans="1:10" x14ac:dyDescent="0.25">
      <c r="A5" s="227" t="s">
        <v>469</v>
      </c>
      <c r="B5" s="220">
        <f>VLOOKUP($A5,ITEMS_Tech_E!$B$7:$E$82,2,FALSE)</f>
        <v>1</v>
      </c>
      <c r="C5" s="392">
        <f>Analytica!Z18</f>
        <v>0.32230996851715898</v>
      </c>
      <c r="D5" s="392">
        <f>Analytica!AA18</f>
        <v>0.332001778720379</v>
      </c>
      <c r="E5" s="392">
        <f>Analytica!AB18</f>
        <v>0.33265717758608498</v>
      </c>
      <c r="F5" s="392">
        <f>Analytica!AC18</f>
        <v>0.33651934650542698</v>
      </c>
      <c r="G5" s="392">
        <f>Analytica!AD18</f>
        <v>0.34211282028256701</v>
      </c>
      <c r="H5" s="392">
        <f>Analytica!AE18</f>
        <v>0.34710783356449998</v>
      </c>
      <c r="I5" s="342" t="s">
        <v>855</v>
      </c>
      <c r="J5" s="643" t="s">
        <v>938</v>
      </c>
    </row>
    <row r="6" spans="1:10" x14ac:dyDescent="0.25">
      <c r="A6" s="227" t="s">
        <v>470</v>
      </c>
      <c r="B6" s="220">
        <f>VLOOKUP($A6,ITEMS_Tech_E!$B$7:$E$82,2,FALSE)</f>
        <v>1</v>
      </c>
      <c r="C6" s="392">
        <f>Analytica!Z19</f>
        <v>0.34093701352969102</v>
      </c>
      <c r="D6" s="392">
        <f>Analytica!AA19</f>
        <v>0.35686173917097103</v>
      </c>
      <c r="E6" s="392">
        <f>Analytica!AB19</f>
        <v>0.35949352149263297</v>
      </c>
      <c r="F6" s="392">
        <f>Analytica!AC19</f>
        <v>0.36773748352763003</v>
      </c>
      <c r="G6" s="392">
        <f>Analytica!AD19</f>
        <v>0.374376610599086</v>
      </c>
      <c r="H6" s="392">
        <f>Analytica!AE19</f>
        <v>0.37938792131855897</v>
      </c>
      <c r="I6" s="342" t="s">
        <v>855</v>
      </c>
      <c r="J6" s="643" t="s">
        <v>940</v>
      </c>
    </row>
    <row r="7" spans="1:10" x14ac:dyDescent="0.25">
      <c r="A7" s="227" t="s">
        <v>471</v>
      </c>
      <c r="B7" s="220">
        <f>VLOOKUP($A7,ITEMS_Tech_E!$B$7:$E$82,2,FALSE)</f>
        <v>0</v>
      </c>
      <c r="C7" s="392">
        <f>Analytica!Z20</f>
        <v>0.44260233149753841</v>
      </c>
      <c r="D7" s="392">
        <f>Analytica!AA20</f>
        <v>0.442677144204426</v>
      </c>
      <c r="E7" s="392">
        <f>Analytica!AB20</f>
        <v>0.44268528093113702</v>
      </c>
      <c r="F7" s="392">
        <f>Analytica!AC20</f>
        <v>0.44274684110372098</v>
      </c>
      <c r="G7" s="392">
        <f>Analytica!AD20</f>
        <v>0.44285783965419501</v>
      </c>
      <c r="H7" s="392">
        <f>Analytica!AE20</f>
        <v>0.44301014956021301</v>
      </c>
      <c r="I7" s="342" t="s">
        <v>855</v>
      </c>
      <c r="J7" s="643" t="s">
        <v>942</v>
      </c>
    </row>
    <row r="8" spans="1:10" x14ac:dyDescent="0.25">
      <c r="A8" s="227" t="s">
        <v>472</v>
      </c>
      <c r="B8" s="220">
        <f>VLOOKUP($A8,ITEMS_Tech_E!$B$7:$E$82,2,FALSE)</f>
        <v>1</v>
      </c>
      <c r="C8" s="392">
        <f>Analytica!Z21</f>
        <v>0.475035020619682</v>
      </c>
      <c r="D8" s="392">
        <f>Analytica!AA21</f>
        <v>0.48634218857827199</v>
      </c>
      <c r="E8" s="392">
        <f>Analytica!AB21</f>
        <v>0.48658239494189298</v>
      </c>
      <c r="F8" s="392">
        <f>Analytica!AC21</f>
        <v>0.48849585750196101</v>
      </c>
      <c r="G8" s="392">
        <f>Analytica!AD21</f>
        <v>0.492038428921173</v>
      </c>
      <c r="H8" s="392">
        <f>Analytica!AE21</f>
        <v>0.49648557965280099</v>
      </c>
      <c r="I8" s="342" t="s">
        <v>855</v>
      </c>
      <c r="J8" s="643" t="s">
        <v>944</v>
      </c>
    </row>
    <row r="9" spans="1:10" x14ac:dyDescent="0.25">
      <c r="A9" s="227" t="s">
        <v>473</v>
      </c>
      <c r="B9" s="220">
        <f>VLOOKUP($A9,ITEMS_Tech_E!$B$7:$E$82,2,FALSE)</f>
        <v>1</v>
      </c>
      <c r="C9" s="392">
        <f>Analytica!Z22</f>
        <v>1.60037643566239</v>
      </c>
      <c r="D9" s="392">
        <f>Analytica!AA22</f>
        <v>1.60037643566239</v>
      </c>
      <c r="E9" s="392">
        <f>Analytica!AB22</f>
        <v>1.60041633961525</v>
      </c>
      <c r="F9" s="392">
        <f>Analytica!AC22</f>
        <v>1.6010609819072401</v>
      </c>
      <c r="G9" s="392">
        <f>Analytica!AD22</f>
        <v>1.6027693715918201</v>
      </c>
      <c r="H9" s="392">
        <f>Analytica!AE22</f>
        <v>1.6056042777811199</v>
      </c>
      <c r="I9" s="342" t="s">
        <v>855</v>
      </c>
      <c r="J9" s="643" t="s">
        <v>946</v>
      </c>
    </row>
    <row r="10" spans="1:10" x14ac:dyDescent="0.25">
      <c r="A10" s="227" t="s">
        <v>474</v>
      </c>
      <c r="B10" s="220">
        <f>VLOOKUP($A10,ITEMS_Tech_E!$B$7:$E$82,2,FALSE)</f>
        <v>1</v>
      </c>
      <c r="C10" s="392">
        <f>Analytica!Z23</f>
        <v>0.15973207030061001</v>
      </c>
      <c r="D10" s="392">
        <f>Analytica!AA23</f>
        <v>0.170324176066042</v>
      </c>
      <c r="E10" s="392">
        <f>Analytica!AB23</f>
        <v>0.17019984843924499</v>
      </c>
      <c r="F10" s="392">
        <f>Analytica!AC23</f>
        <v>0.17409813013726</v>
      </c>
      <c r="G10" s="392">
        <f>Analytica!AD23</f>
        <v>0.17789366131389001</v>
      </c>
      <c r="H10" s="392">
        <f>Analytica!AE23</f>
        <v>0.18082625096775001</v>
      </c>
      <c r="I10" s="342" t="s">
        <v>855</v>
      </c>
      <c r="J10" s="643" t="s">
        <v>1004</v>
      </c>
    </row>
    <row r="11" spans="1:10" x14ac:dyDescent="0.25">
      <c r="A11" s="227" t="s">
        <v>475</v>
      </c>
      <c r="B11" s="220">
        <f>VLOOKUP($A11,ITEMS_Tech_E!$B$7:$E$82,2,FALSE)</f>
        <v>1</v>
      </c>
      <c r="C11" s="392">
        <f>Analytica!Z24</f>
        <v>0.14527289486418399</v>
      </c>
      <c r="D11" s="392">
        <f>Analytica!AA24</f>
        <v>0.14896435210389899</v>
      </c>
      <c r="E11" s="392">
        <f>Analytica!AB24</f>
        <v>0.152765483769921</v>
      </c>
      <c r="F11" s="392">
        <f>Analytica!AC24</f>
        <v>0.16609404654853699</v>
      </c>
      <c r="G11" s="392">
        <f>Analytica!AD24</f>
        <v>0.17211134514717899</v>
      </c>
      <c r="H11" s="392">
        <f>Analytica!AE24</f>
        <v>0.173986340906439</v>
      </c>
      <c r="I11" s="342" t="s">
        <v>855</v>
      </c>
      <c r="J11" s="643" t="s">
        <v>1006</v>
      </c>
    </row>
    <row r="12" spans="1:10" x14ac:dyDescent="0.25">
      <c r="A12" s="227" t="s">
        <v>476</v>
      </c>
      <c r="B12" s="220">
        <f>VLOOKUP($A12,ITEMS_Tech_E!$B$7:$E$82,2,FALSE)</f>
        <v>1</v>
      </c>
      <c r="C12" s="392">
        <f>Analytica!Z25</f>
        <v>0.12700916328634601</v>
      </c>
      <c r="D12" s="392">
        <f>Analytica!AA25</f>
        <v>0.13643182834537301</v>
      </c>
      <c r="E12" s="392">
        <f>Analytica!AB25</f>
        <v>0.136459139072411</v>
      </c>
      <c r="F12" s="392">
        <f>Analytica!AC25</f>
        <v>0.14013799688852099</v>
      </c>
      <c r="G12" s="392">
        <f>Analytica!AD25</f>
        <v>0.143519603118716</v>
      </c>
      <c r="H12" s="392">
        <f>Analytica!AE25</f>
        <v>0.14596983768762201</v>
      </c>
      <c r="I12" s="342" t="s">
        <v>855</v>
      </c>
      <c r="J12" s="643" t="s">
        <v>1008</v>
      </c>
    </row>
    <row r="13" spans="1:10" x14ac:dyDescent="0.25">
      <c r="A13" s="227" t="s">
        <v>477</v>
      </c>
      <c r="B13" s="220">
        <f>VLOOKUP($A13,ITEMS_Tech_E!$B$7:$E$82,2,FALSE)</f>
        <v>1</v>
      </c>
      <c r="C13" s="392">
        <f>Analytica!Z26</f>
        <v>0.11158645590879999</v>
      </c>
      <c r="D13" s="392">
        <f>Analytica!AA26</f>
        <v>0.119281768417066</v>
      </c>
      <c r="E13" s="392">
        <f>Analytica!AB26</f>
        <v>0.11931868717182099</v>
      </c>
      <c r="F13" s="392">
        <f>Analytica!AC26</f>
        <v>0.12232153623233299</v>
      </c>
      <c r="G13" s="392">
        <f>Analytica!AD26</f>
        <v>0.12509253733459699</v>
      </c>
      <c r="H13" s="392">
        <f>Analytica!AE26</f>
        <v>0.12724056107916601</v>
      </c>
      <c r="I13" s="342" t="s">
        <v>855</v>
      </c>
      <c r="J13" s="643" t="s">
        <v>1010</v>
      </c>
    </row>
    <row r="14" spans="1:10" x14ac:dyDescent="0.25">
      <c r="A14" s="227" t="s">
        <v>478</v>
      </c>
      <c r="B14" s="220">
        <f>VLOOKUP($A14,ITEMS_Tech_E!$B$7:$E$82,2,FALSE)</f>
        <v>1</v>
      </c>
      <c r="C14" s="392">
        <f>Analytica!Z27</f>
        <v>9.6686855885418296E-2</v>
      </c>
      <c r="D14" s="392">
        <f>Analytica!AA27</f>
        <v>0.102511485821615</v>
      </c>
      <c r="E14" s="392">
        <f>Analytica!AB27</f>
        <v>0.10254809996583</v>
      </c>
      <c r="F14" s="392">
        <f>Analytica!AC27</f>
        <v>0.105418203184048</v>
      </c>
      <c r="G14" s="392">
        <f>Analytica!AD27</f>
        <v>0.108304805407653</v>
      </c>
      <c r="H14" s="392">
        <f>Analytica!AE27</f>
        <v>0.110554573148034</v>
      </c>
      <c r="I14" s="342" t="s">
        <v>855</v>
      </c>
      <c r="J14" s="643" t="s">
        <v>1012</v>
      </c>
    </row>
    <row r="15" spans="1:10" x14ac:dyDescent="0.25">
      <c r="A15" s="227" t="s">
        <v>479</v>
      </c>
      <c r="B15" s="220">
        <f>VLOOKUP($A15,ITEMS_Tech_E!$B$7:$E$82,2,FALSE)</f>
        <v>1</v>
      </c>
      <c r="C15" s="392">
        <f>Analytica!Z28</f>
        <v>8.8022657757619804E-2</v>
      </c>
      <c r="D15" s="392">
        <f>Analytica!AA28</f>
        <v>9.4439576839910805E-2</v>
      </c>
      <c r="E15" s="392">
        <f>Analytica!AB28</f>
        <v>9.4370120075289193E-2</v>
      </c>
      <c r="F15" s="392">
        <f>Analytica!AC28</f>
        <v>9.6441406801161797E-2</v>
      </c>
      <c r="G15" s="392">
        <f>Analytica!AD28</f>
        <v>9.8419663807944702E-2</v>
      </c>
      <c r="H15" s="392">
        <f>Analytica!AE28</f>
        <v>9.9889600984333304E-2</v>
      </c>
      <c r="I15" s="342" t="s">
        <v>855</v>
      </c>
      <c r="J15" s="643" t="s">
        <v>1014</v>
      </c>
    </row>
    <row r="16" spans="1:10" x14ac:dyDescent="0.25">
      <c r="A16" s="227" t="s">
        <v>480</v>
      </c>
      <c r="B16" s="220">
        <f>VLOOKUP($A16,ITEMS_Tech_E!$B$7:$E$82,2,FALSE)</f>
        <v>1</v>
      </c>
      <c r="C16" s="392">
        <f>Analytica!Z29</f>
        <v>6.0770510906732703E-2</v>
      </c>
      <c r="D16" s="392">
        <f>Analytica!AA29</f>
        <v>6.5140074152247901E-2</v>
      </c>
      <c r="E16" s="392">
        <f>Analytica!AB29</f>
        <v>6.5086835525467304E-2</v>
      </c>
      <c r="F16" s="392">
        <f>Analytica!AC29</f>
        <v>6.6124396909204006E-2</v>
      </c>
      <c r="G16" s="392">
        <f>Analytica!AD29</f>
        <v>6.7166260047415702E-2</v>
      </c>
      <c r="H16" s="392">
        <f>Analytica!AE29</f>
        <v>6.8012622129019304E-2</v>
      </c>
      <c r="I16" s="342" t="s">
        <v>855</v>
      </c>
      <c r="J16" s="643" t="s">
        <v>1016</v>
      </c>
    </row>
    <row r="17" spans="1:10" x14ac:dyDescent="0.25">
      <c r="A17" s="227" t="s">
        <v>481</v>
      </c>
      <c r="B17" s="220">
        <f>VLOOKUP($A17,ITEMS_Tech_E!$B$7:$E$82,2,FALSE)</f>
        <v>1</v>
      </c>
      <c r="C17" s="392">
        <f>Analytica!Z30</f>
        <v>6.5864517822129001E-2</v>
      </c>
      <c r="D17" s="392">
        <f>Analytica!AA30</f>
        <v>7.0317841528990704E-2</v>
      </c>
      <c r="E17" s="392">
        <f>Analytica!AB30</f>
        <v>7.0234604805822207E-2</v>
      </c>
      <c r="F17" s="392">
        <f>Analytica!AC30</f>
        <v>7.1524983519216004E-2</v>
      </c>
      <c r="G17" s="392">
        <f>Analytica!AD30</f>
        <v>7.2864914411162496E-2</v>
      </c>
      <c r="H17" s="392">
        <f>Analytica!AE30</f>
        <v>7.39190120279309E-2</v>
      </c>
      <c r="I17" s="342" t="s">
        <v>855</v>
      </c>
      <c r="J17" s="643" t="s">
        <v>1018</v>
      </c>
    </row>
    <row r="18" spans="1:10" x14ac:dyDescent="0.25">
      <c r="A18" s="227" t="s">
        <v>482</v>
      </c>
      <c r="B18" s="220">
        <f>VLOOKUP($A18,ITEMS_Tech_E!$B$7:$E$82,2,FALSE)</f>
        <v>1</v>
      </c>
      <c r="C18" s="392">
        <f>Analytica!Z31</f>
        <v>6.4937428235684005E-2</v>
      </c>
      <c r="D18" s="392">
        <f>Analytica!AA31</f>
        <v>6.9193607941341495E-2</v>
      </c>
      <c r="E18" s="392">
        <f>Analytica!AB31</f>
        <v>6.9134613553873694E-2</v>
      </c>
      <c r="F18" s="392">
        <f>Analytica!AC31</f>
        <v>6.9756638806478602E-2</v>
      </c>
      <c r="G18" s="392">
        <f>Analytica!AD31</f>
        <v>7.0539322337285895E-2</v>
      </c>
      <c r="H18" s="392">
        <f>Analytica!AE31</f>
        <v>7.1239826934415704E-2</v>
      </c>
      <c r="I18" s="342" t="s">
        <v>855</v>
      </c>
      <c r="J18" s="643" t="s">
        <v>1020</v>
      </c>
    </row>
    <row r="19" spans="1:10" x14ac:dyDescent="0.25">
      <c r="A19" s="227" t="s">
        <v>483</v>
      </c>
      <c r="B19" s="220">
        <f>VLOOKUP($A19,ITEMS_Tech_E!$B$7:$E$82,2,FALSE)</f>
        <v>1</v>
      </c>
      <c r="C19" s="392">
        <f>Analytica!Z32</f>
        <v>5.3663791961647903E-2</v>
      </c>
      <c r="D19" s="392">
        <f>Analytica!AA32</f>
        <v>5.4371364101907703E-2</v>
      </c>
      <c r="E19" s="392">
        <f>Analytica!AB32</f>
        <v>5.4374543331148002E-2</v>
      </c>
      <c r="F19" s="392">
        <f>Analytica!AC32</f>
        <v>5.4895435674524602E-2</v>
      </c>
      <c r="G19" s="392">
        <f>Analytica!AD32</f>
        <v>5.5820318048132901E-2</v>
      </c>
      <c r="H19" s="392">
        <f>Analytica!AE32</f>
        <v>5.7192352651667E-2</v>
      </c>
      <c r="I19" s="342" t="s">
        <v>855</v>
      </c>
      <c r="J19" s="643" t="s">
        <v>1022</v>
      </c>
    </row>
    <row r="20" spans="1:10" x14ac:dyDescent="0.25">
      <c r="A20" s="227" t="s">
        <v>484</v>
      </c>
      <c r="B20" s="220">
        <f>VLOOKUP($A20,ITEMS_Tech_E!$B$7:$E$82,2,FALSE)</f>
        <v>1</v>
      </c>
      <c r="C20" s="392">
        <f>Analytica!Z33</f>
        <v>0.224634152664134</v>
      </c>
      <c r="D20" s="392">
        <f>Analytica!AA33</f>
        <v>0.23594563867169499</v>
      </c>
      <c r="E20" s="392">
        <f>Analytica!AB33</f>
        <v>0.236416891901715</v>
      </c>
      <c r="F20" s="392">
        <f>Analytica!AC33</f>
        <v>0.237476755649043</v>
      </c>
      <c r="G20" s="392">
        <f>Analytica!AD33</f>
        <v>0.23820734864530901</v>
      </c>
      <c r="H20" s="392">
        <f>Analytica!AE33</f>
        <v>0.238773147737598</v>
      </c>
      <c r="I20" s="342" t="s">
        <v>855</v>
      </c>
      <c r="J20" s="643" t="s">
        <v>992</v>
      </c>
    </row>
    <row r="21" spans="1:10" x14ac:dyDescent="0.25">
      <c r="A21" s="227" t="s">
        <v>485</v>
      </c>
      <c r="B21" s="220">
        <f>VLOOKUP($A21,ITEMS_Tech_E!$B$7:$E$82,2,FALSE)</f>
        <v>1</v>
      </c>
      <c r="C21" s="392">
        <f>Analytica!Z34</f>
        <v>0.19897796018658001</v>
      </c>
      <c r="D21" s="392">
        <f>Analytica!AA34</f>
        <v>0.206254237709705</v>
      </c>
      <c r="E21" s="392">
        <f>Analytica!AB34</f>
        <v>0.206726097108171</v>
      </c>
      <c r="F21" s="392">
        <f>Analytica!AC34</f>
        <v>0.20785170508495199</v>
      </c>
      <c r="G21" s="392">
        <f>Analytica!AD34</f>
        <v>0.20866460609364401</v>
      </c>
      <c r="H21" s="392">
        <f>Analytica!AE34</f>
        <v>0.209312603622752</v>
      </c>
      <c r="I21" s="342" t="s">
        <v>855</v>
      </c>
      <c r="J21" s="643" t="s">
        <v>996</v>
      </c>
    </row>
    <row r="22" spans="1:10" x14ac:dyDescent="0.25">
      <c r="A22" s="227" t="s">
        <v>486</v>
      </c>
      <c r="B22" s="220">
        <f>VLOOKUP($A22,ITEMS_Tech_E!$B$7:$E$82,2,FALSE)</f>
        <v>1</v>
      </c>
      <c r="C22" s="392">
        <f>Analytica!Z35</f>
        <v>0.226141211498956</v>
      </c>
      <c r="D22" s="392">
        <f>Analytica!AA35</f>
        <v>0.23693697386285401</v>
      </c>
      <c r="E22" s="392">
        <f>Analytica!AB35</f>
        <v>0.23714071054781499</v>
      </c>
      <c r="F22" s="392">
        <f>Analytica!AC35</f>
        <v>0.23771796611346999</v>
      </c>
      <c r="G22" s="392">
        <f>Analytica!AD35</f>
        <v>0.238197153562765</v>
      </c>
      <c r="H22" s="392">
        <f>Analytica!AE35</f>
        <v>0.23860947241442801</v>
      </c>
      <c r="I22" s="342" t="s">
        <v>855</v>
      </c>
      <c r="J22" s="643" t="s">
        <v>967</v>
      </c>
    </row>
    <row r="23" spans="1:10" x14ac:dyDescent="0.25">
      <c r="A23" s="227" t="s">
        <v>487</v>
      </c>
      <c r="B23" s="220">
        <f>VLOOKUP($A23,ITEMS_Tech_E!$B$7:$E$82,2,FALSE)</f>
        <v>1</v>
      </c>
      <c r="C23" s="392">
        <f>Analytica!Z36</f>
        <v>0.19268141937712499</v>
      </c>
      <c r="D23" s="392">
        <f>Analytica!AA36</f>
        <v>0.2007607462921</v>
      </c>
      <c r="E23" s="392">
        <f>Analytica!AB36</f>
        <v>0.20159853580370701</v>
      </c>
      <c r="F23" s="392">
        <f>Analytica!AC36</f>
        <v>0.203758901219809</v>
      </c>
      <c r="G23" s="392">
        <f>Analytica!AD36</f>
        <v>0.205400647316764</v>
      </c>
      <c r="H23" s="392">
        <f>Analytica!AE36</f>
        <v>0.206733282045863</v>
      </c>
      <c r="I23" s="342" t="s">
        <v>855</v>
      </c>
      <c r="J23" s="643" t="s">
        <v>969</v>
      </c>
    </row>
    <row r="24" spans="1:10" x14ac:dyDescent="0.25">
      <c r="A24" s="227" t="s">
        <v>488</v>
      </c>
      <c r="B24" s="220">
        <f>VLOOKUP($A24,ITEMS_Tech_E!$B$7:$E$82,2,FALSE)</f>
        <v>1</v>
      </c>
      <c r="C24" s="392">
        <f>Analytica!Z37</f>
        <v>0.22405960188642601</v>
      </c>
      <c r="D24" s="392">
        <f>Analytica!AA37</f>
        <v>0.23305744392160199</v>
      </c>
      <c r="E24" s="392">
        <f>Analytica!AB37</f>
        <v>0.23340599419800401</v>
      </c>
      <c r="F24" s="392">
        <f>Analytica!AC37</f>
        <v>0.23509880748513301</v>
      </c>
      <c r="G24" s="392">
        <f>Analytica!AD37</f>
        <v>0.237131336819111</v>
      </c>
      <c r="H24" s="392">
        <f>Analytica!AE37</f>
        <v>0.23904134817290701</v>
      </c>
      <c r="I24" s="342" t="s">
        <v>855</v>
      </c>
      <c r="J24" s="643" t="s">
        <v>921</v>
      </c>
    </row>
    <row r="25" spans="1:10" x14ac:dyDescent="0.25">
      <c r="A25" s="227" t="s">
        <v>489</v>
      </c>
      <c r="B25" s="220">
        <f>VLOOKUP($A25,ITEMS_Tech_E!$B$7:$E$82,2,FALSE)</f>
        <v>1</v>
      </c>
      <c r="C25" s="392">
        <f>Analytica!Z38</f>
        <v>0.41826030251072899</v>
      </c>
      <c r="D25" s="392">
        <f>Analytica!AA38</f>
        <v>0.42759293682001998</v>
      </c>
      <c r="E25" s="392">
        <f>Analytica!AB38</f>
        <v>0.42775501230198898</v>
      </c>
      <c r="F25" s="392">
        <f>Analytica!AC38</f>
        <v>0.42938928409693999</v>
      </c>
      <c r="G25" s="392">
        <f>Analytica!AD38</f>
        <v>0.43322071824803499</v>
      </c>
      <c r="H25" s="392">
        <f>Analytica!AE38</f>
        <v>0.43867505244828803</v>
      </c>
      <c r="I25" s="342" t="s">
        <v>855</v>
      </c>
      <c r="J25" s="643" t="s">
        <v>928</v>
      </c>
    </row>
    <row r="26" spans="1:10" x14ac:dyDescent="0.25">
      <c r="A26" s="227" t="s">
        <v>490</v>
      </c>
      <c r="B26" s="220">
        <f>VLOOKUP($A26,ITEMS_Tech_E!$B$7:$E$82,2,FALSE)</f>
        <v>1</v>
      </c>
      <c r="C26" s="392">
        <f>Analytica!Z39</f>
        <v>0.20690739913063799</v>
      </c>
      <c r="D26" s="392">
        <f>Analytica!AA39</f>
        <v>0.21576687545224399</v>
      </c>
      <c r="E26" s="392">
        <f>Analytica!AB39</f>
        <v>0.21618578391000501</v>
      </c>
      <c r="F26" s="392">
        <f>Analytica!AC39</f>
        <v>0.218019202930891</v>
      </c>
      <c r="G26" s="392">
        <f>Analytica!AD39</f>
        <v>0.220066514706491</v>
      </c>
      <c r="H26" s="392">
        <f>Analytica!AE39</f>
        <v>0.22191326959965599</v>
      </c>
      <c r="I26" s="342" t="s">
        <v>855</v>
      </c>
      <c r="J26" s="643" t="s">
        <v>924</v>
      </c>
    </row>
    <row r="27" spans="1:10" x14ac:dyDescent="0.25">
      <c r="A27" s="227" t="s">
        <v>491</v>
      </c>
      <c r="B27" s="220">
        <f>VLOOKUP($A27,ITEMS_Tech_E!$B$7:$E$82,2,FALSE)</f>
        <v>1</v>
      </c>
      <c r="C27" s="392">
        <f>Analytica!Z40</f>
        <v>1.4770000000000001</v>
      </c>
      <c r="D27" s="392">
        <f>Analytica!AA40</f>
        <v>1.4770000000000001</v>
      </c>
      <c r="E27" s="392">
        <f>Analytica!AB40</f>
        <v>1.4770000000000001</v>
      </c>
      <c r="F27" s="392">
        <f>Analytica!AC40</f>
        <v>1.4770000000000001</v>
      </c>
      <c r="G27" s="392">
        <f>Analytica!AD40</f>
        <v>1.4770000000000001</v>
      </c>
      <c r="H27" s="392">
        <f>Analytica!AE40</f>
        <v>1.4770000000000001</v>
      </c>
      <c r="I27" s="342" t="s">
        <v>855</v>
      </c>
      <c r="J27" s="643" t="s">
        <v>936</v>
      </c>
    </row>
    <row r="28" spans="1:10" x14ac:dyDescent="0.25">
      <c r="A28" s="227" t="s">
        <v>288</v>
      </c>
      <c r="B28" s="220">
        <f>VLOOKUP($A28,ITEMS_Tech_E!$B$7:$E$82,2,FALSE)</f>
        <v>1</v>
      </c>
      <c r="C28" s="392">
        <f>Analytica!Z41</f>
        <v>0.56040000000000001</v>
      </c>
      <c r="D28" s="392">
        <f>Analytica!AA41</f>
        <v>0.58484684820594601</v>
      </c>
      <c r="E28" s="392">
        <f>Analytica!AB41</f>
        <v>0.58792203407525001</v>
      </c>
      <c r="F28" s="392">
        <f>Analytica!AC41</f>
        <v>0.59899195036072195</v>
      </c>
      <c r="G28" s="392">
        <f>Analytica!AD41</f>
        <v>0.60882557636547696</v>
      </c>
      <c r="H28" s="392">
        <f>Analytica!AE41</f>
        <v>0.61566719645728296</v>
      </c>
      <c r="I28" s="342" t="s">
        <v>855</v>
      </c>
      <c r="J28" s="643" t="s">
        <v>392</v>
      </c>
    </row>
    <row r="29" spans="1:10" x14ac:dyDescent="0.25">
      <c r="A29" s="227" t="s">
        <v>291</v>
      </c>
      <c r="B29" s="220">
        <f>VLOOKUP($A29,ITEMS_Tech_E!$B$7:$E$82,2,FALSE)</f>
        <v>1</v>
      </c>
      <c r="D29" s="731">
        <v>3.858057479967961</v>
      </c>
      <c r="E29" s="238">
        <v>1</v>
      </c>
      <c r="F29" s="238">
        <v>1</v>
      </c>
      <c r="G29" s="238">
        <v>1</v>
      </c>
      <c r="H29" s="238">
        <v>1</v>
      </c>
      <c r="I29" s="238" t="s">
        <v>1170</v>
      </c>
      <c r="J29" s="643" t="s">
        <v>401</v>
      </c>
    </row>
    <row r="30" spans="1:10" x14ac:dyDescent="0.25">
      <c r="A30" s="227" t="s">
        <v>558</v>
      </c>
      <c r="B30" s="220">
        <f>VLOOKUP($A30,ITEMS_Tech_E!$B$7:$E$82,2,FALSE)</f>
        <v>1</v>
      </c>
      <c r="C30" s="392">
        <f>Analytica!Z43</f>
        <v>0.2275981390437018</v>
      </c>
      <c r="D30" s="238">
        <f t="shared" ref="D30:H36" si="0">C30</f>
        <v>0.2275981390437018</v>
      </c>
      <c r="E30" s="392">
        <f>Analytica!AB43</f>
        <v>0.2275981390437018</v>
      </c>
      <c r="F30" s="392">
        <f>Analytica!AC43</f>
        <v>0.2275981390437018</v>
      </c>
      <c r="G30" s="392">
        <f>Analytica!AD43</f>
        <v>0.2275981390437018</v>
      </c>
      <c r="H30" s="392">
        <f>Analytica!AE43</f>
        <v>0.2275981390437018</v>
      </c>
      <c r="I30" s="342" t="s">
        <v>855</v>
      </c>
      <c r="J30" s="643" t="s">
        <v>930</v>
      </c>
    </row>
    <row r="31" spans="1:10" x14ac:dyDescent="0.25">
      <c r="A31" s="227" t="s">
        <v>560</v>
      </c>
      <c r="B31" s="220">
        <f>VLOOKUP($A31,ITEMS_Tech_E!$B$7:$E$82,2,FALSE)</f>
        <v>1</v>
      </c>
      <c r="C31" s="392">
        <f>Analytica!Z44</f>
        <v>1.7604140792286291</v>
      </c>
      <c r="D31" s="238">
        <f t="shared" si="0"/>
        <v>1.7604140792286291</v>
      </c>
      <c r="E31" s="392">
        <f>Analytica!AB44</f>
        <v>1.7604140792286291</v>
      </c>
      <c r="F31" s="392">
        <f>Analytica!AC44</f>
        <v>1.7604140792286291</v>
      </c>
      <c r="G31" s="392">
        <f>Analytica!AD44</f>
        <v>1.7604140792286291</v>
      </c>
      <c r="H31" s="392">
        <f>Analytica!AE44</f>
        <v>1.7604140792286291</v>
      </c>
      <c r="I31" s="342" t="s">
        <v>855</v>
      </c>
      <c r="J31" s="643" t="s">
        <v>948</v>
      </c>
    </row>
    <row r="32" spans="1:10" x14ac:dyDescent="0.25">
      <c r="A32" s="227" t="s">
        <v>567</v>
      </c>
      <c r="B32" s="220">
        <f>VLOOKUP($A32,ITEMS_Tech_E!$B$7:$E$82,2,FALSE)</f>
        <v>1</v>
      </c>
      <c r="C32" s="392">
        <f>Analytica!Z45</f>
        <v>0.2119495613148375</v>
      </c>
      <c r="D32" s="238">
        <f t="shared" si="0"/>
        <v>0.2119495613148375</v>
      </c>
      <c r="E32" s="392">
        <f>Analytica!AB45</f>
        <v>0.2119495613148375</v>
      </c>
      <c r="F32" s="392">
        <f>Analytica!AC45</f>
        <v>0.2119495613148375</v>
      </c>
      <c r="G32" s="392">
        <f>Analytica!AD45</f>
        <v>0.2119495613148375</v>
      </c>
      <c r="H32" s="392">
        <f>Analytica!AE45</f>
        <v>0.2119495613148375</v>
      </c>
      <c r="I32" s="342" t="s">
        <v>855</v>
      </c>
      <c r="J32" s="643" t="s">
        <v>973</v>
      </c>
    </row>
    <row r="33" spans="1:10" x14ac:dyDescent="0.25">
      <c r="A33" s="227" t="s">
        <v>565</v>
      </c>
      <c r="B33" s="220">
        <f>VLOOKUP($A33,ITEMS_Tech_E!$B$7:$E$82,2,FALSE)</f>
        <v>1</v>
      </c>
      <c r="C33" s="392">
        <f>Analytica!Z46</f>
        <v>6.1451225052252298E-2</v>
      </c>
      <c r="D33" s="238">
        <f t="shared" si="0"/>
        <v>6.1451225052252298E-2</v>
      </c>
      <c r="E33" s="392">
        <f>Analytica!AB46</f>
        <v>6.1451225052252298E-2</v>
      </c>
      <c r="F33" s="392">
        <f>Analytica!AC46</f>
        <v>6.1451225052252298E-2</v>
      </c>
      <c r="G33" s="392">
        <f>Analytica!AD46</f>
        <v>6.1451225052252298E-2</v>
      </c>
      <c r="H33" s="392">
        <f>Analytica!AE46</f>
        <v>6.1451225052252298E-2</v>
      </c>
      <c r="I33" s="342" t="s">
        <v>855</v>
      </c>
      <c r="J33" s="643" t="s">
        <v>959</v>
      </c>
    </row>
    <row r="34" spans="1:10" x14ac:dyDescent="0.25">
      <c r="A34" s="227" t="s">
        <v>571</v>
      </c>
      <c r="B34" s="220">
        <f>VLOOKUP($A34,ITEMS_Tech_E!$B$7:$E$82,2,FALSE)</f>
        <v>1</v>
      </c>
      <c r="C34" s="392">
        <f>Analytica!Z47</f>
        <v>0.21887575620523803</v>
      </c>
      <c r="D34" s="238">
        <f t="shared" si="0"/>
        <v>0.21887575620523803</v>
      </c>
      <c r="E34" s="392">
        <f>Analytica!AB47</f>
        <v>0.21887575620523803</v>
      </c>
      <c r="F34" s="392">
        <f>Analytica!AC47</f>
        <v>0.21887575620523803</v>
      </c>
      <c r="G34" s="392">
        <f>Analytica!AD47</f>
        <v>0.21887575620523803</v>
      </c>
      <c r="H34" s="392">
        <f>Analytica!AE47</f>
        <v>0.21887575620523803</v>
      </c>
      <c r="I34" s="342" t="s">
        <v>855</v>
      </c>
      <c r="J34" s="643" t="s">
        <v>1000</v>
      </c>
    </row>
    <row r="35" spans="1:10" x14ac:dyDescent="0.25">
      <c r="A35" s="227" t="s">
        <v>572</v>
      </c>
      <c r="B35" s="220">
        <f>VLOOKUP($A35,ITEMS_Tech_E!$B$7:$E$82,2,FALSE)</f>
        <v>1</v>
      </c>
      <c r="C35" s="392">
        <f>Analytica!Z48</f>
        <v>0.15980018435060239</v>
      </c>
      <c r="D35" s="238">
        <f t="shared" si="0"/>
        <v>0.15980018435060239</v>
      </c>
      <c r="E35" s="392">
        <f>Analytica!AB48</f>
        <v>0.15980018435060239</v>
      </c>
      <c r="F35" s="392">
        <f>Analytica!AC48</f>
        <v>0.15980018435060239</v>
      </c>
      <c r="G35" s="392">
        <f>Analytica!AD48</f>
        <v>0.15980018435060239</v>
      </c>
      <c r="H35" s="392">
        <f>Analytica!AE48</f>
        <v>0.15980018435060239</v>
      </c>
      <c r="I35" s="342" t="s">
        <v>855</v>
      </c>
      <c r="J35" s="643" t="s">
        <v>1024</v>
      </c>
    </row>
    <row r="36" spans="1:10" x14ac:dyDescent="0.25">
      <c r="A36" s="227" t="s">
        <v>823</v>
      </c>
      <c r="B36" s="220">
        <f>VLOOKUP($A36,ITEMS_Tech_E!$B$7:$E$82,2,FALSE)</f>
        <v>1</v>
      </c>
      <c r="C36" s="392">
        <f>Calib_2017!AF42</f>
        <v>2.8040417913534488</v>
      </c>
      <c r="D36" s="238">
        <f t="shared" si="0"/>
        <v>2.8040417913534488</v>
      </c>
      <c r="E36" s="238">
        <f t="shared" si="0"/>
        <v>2.8040417913534488</v>
      </c>
      <c r="F36" s="238">
        <f t="shared" si="0"/>
        <v>2.8040417913534488</v>
      </c>
      <c r="G36" s="238">
        <f t="shared" si="0"/>
        <v>2.8040417913534488</v>
      </c>
      <c r="H36" s="238">
        <f t="shared" si="0"/>
        <v>2.8040417913534488</v>
      </c>
      <c r="I36" s="342" t="s">
        <v>851</v>
      </c>
      <c r="J36" s="643" t="s">
        <v>1098</v>
      </c>
    </row>
    <row r="37" spans="1:10" x14ac:dyDescent="0.25">
      <c r="A37" s="227" t="s">
        <v>827</v>
      </c>
      <c r="B37" s="220">
        <f>VLOOKUP($A37,ITEMS_Tech_E!$B$7:$E$82,2,FALSE)</f>
        <v>1</v>
      </c>
      <c r="C37" s="392">
        <f>Calib_2017!AG42</f>
        <v>4.0285422116338081</v>
      </c>
      <c r="D37" s="238">
        <f t="shared" ref="D37:H37" si="1">C37</f>
        <v>4.0285422116338081</v>
      </c>
      <c r="E37" s="238">
        <f t="shared" si="1"/>
        <v>4.0285422116338081</v>
      </c>
      <c r="F37" s="238">
        <f t="shared" si="1"/>
        <v>4.0285422116338081</v>
      </c>
      <c r="G37" s="238">
        <f t="shared" si="1"/>
        <v>4.0285422116338081</v>
      </c>
      <c r="H37" s="238">
        <f t="shared" si="1"/>
        <v>4.0285422116338081</v>
      </c>
      <c r="I37" s="342" t="s">
        <v>851</v>
      </c>
      <c r="J37" s="643" t="s">
        <v>1078</v>
      </c>
    </row>
    <row r="38" spans="1:10" x14ac:dyDescent="0.25">
      <c r="A38" s="227" t="s">
        <v>829</v>
      </c>
      <c r="B38" s="220">
        <f>VLOOKUP($A38,ITEMS_Tech_E!$B$7:$E$82,2,FALSE)</f>
        <v>1</v>
      </c>
      <c r="C38" s="393">
        <f>Calib_old!AF43</f>
        <v>4.2248786996646812</v>
      </c>
      <c r="D38" s="238">
        <f t="shared" ref="D38:H38" si="2">C38</f>
        <v>4.2248786996646812</v>
      </c>
      <c r="E38" s="238">
        <f t="shared" si="2"/>
        <v>4.2248786996646812</v>
      </c>
      <c r="F38" s="238">
        <f t="shared" si="2"/>
        <v>4.2248786996646812</v>
      </c>
      <c r="G38" s="238">
        <f t="shared" si="2"/>
        <v>4.2248786996646812</v>
      </c>
      <c r="H38" s="238">
        <f t="shared" si="2"/>
        <v>4.2248786996646812</v>
      </c>
      <c r="I38" s="226" t="s">
        <v>861</v>
      </c>
      <c r="J38" s="643" t="s">
        <v>1099</v>
      </c>
    </row>
    <row r="39" spans="1:10" x14ac:dyDescent="0.25">
      <c r="A39" s="227" t="s">
        <v>831</v>
      </c>
      <c r="B39" s="220">
        <f>VLOOKUP($A39,ITEMS_Tech_E!$B$7:$E$82,2,FALSE)</f>
        <v>1</v>
      </c>
      <c r="C39" s="393">
        <f>Calib_old!AG43</f>
        <v>12.071081999041946</v>
      </c>
      <c r="D39" s="238">
        <f t="shared" ref="D39:H39" si="3">C39</f>
        <v>12.071081999041946</v>
      </c>
      <c r="E39" s="238">
        <f t="shared" si="3"/>
        <v>12.071081999041946</v>
      </c>
      <c r="F39" s="238">
        <f t="shared" si="3"/>
        <v>12.071081999041946</v>
      </c>
      <c r="G39" s="238">
        <f t="shared" si="3"/>
        <v>12.071081999041946</v>
      </c>
      <c r="H39" s="238">
        <f t="shared" si="3"/>
        <v>12.071081999041946</v>
      </c>
      <c r="I39" s="226" t="s">
        <v>861</v>
      </c>
      <c r="J39" s="643" t="s">
        <v>1080</v>
      </c>
    </row>
    <row r="40" spans="1:10" x14ac:dyDescent="0.25">
      <c r="A40" s="227" t="s">
        <v>833</v>
      </c>
      <c r="B40" s="220">
        <f>VLOOKUP($A40,ITEMS_Tech_E!$B$7:$E$82,2,FALSE)</f>
        <v>1</v>
      </c>
      <c r="C40" s="393">
        <f>Calib_old!AF44</f>
        <v>6.545125793438701</v>
      </c>
      <c r="D40" s="238">
        <f t="shared" ref="D40:H40" si="4">C40</f>
        <v>6.545125793438701</v>
      </c>
      <c r="E40" s="238">
        <f t="shared" si="4"/>
        <v>6.545125793438701</v>
      </c>
      <c r="F40" s="238">
        <f t="shared" si="4"/>
        <v>6.545125793438701</v>
      </c>
      <c r="G40" s="238">
        <f t="shared" si="4"/>
        <v>6.545125793438701</v>
      </c>
      <c r="H40" s="238">
        <f t="shared" si="4"/>
        <v>6.545125793438701</v>
      </c>
      <c r="I40" s="226" t="s">
        <v>861</v>
      </c>
      <c r="J40" s="643" t="s">
        <v>1100</v>
      </c>
    </row>
    <row r="41" spans="1:10" x14ac:dyDescent="0.25">
      <c r="A41" s="227" t="s">
        <v>835</v>
      </c>
      <c r="B41" s="220">
        <f>VLOOKUP($A41,ITEMS_Tech_E!$B$7:$E$82,2,FALSE)</f>
        <v>1</v>
      </c>
      <c r="C41" s="393">
        <f>Calib_old!AG44</f>
        <v>18.700359409824859</v>
      </c>
      <c r="D41" s="238">
        <f t="shared" ref="D41:H41" si="5">C41</f>
        <v>18.700359409824859</v>
      </c>
      <c r="E41" s="238">
        <f t="shared" si="5"/>
        <v>18.700359409824859</v>
      </c>
      <c r="F41" s="238">
        <f t="shared" si="5"/>
        <v>18.700359409824859</v>
      </c>
      <c r="G41" s="238">
        <f t="shared" si="5"/>
        <v>18.700359409824859</v>
      </c>
      <c r="H41" s="238">
        <f t="shared" si="5"/>
        <v>18.700359409824859</v>
      </c>
      <c r="I41" s="226" t="s">
        <v>861</v>
      </c>
      <c r="J41" s="643" t="s">
        <v>1082</v>
      </c>
    </row>
    <row r="42" spans="1:10" x14ac:dyDescent="0.25">
      <c r="A42" s="227" t="s">
        <v>837</v>
      </c>
      <c r="B42" s="220">
        <f>VLOOKUP($A42,ITEMS_Tech_E!$B$7:$E$82,2,FALSE)</f>
        <v>1</v>
      </c>
      <c r="C42" s="233">
        <v>1</v>
      </c>
      <c r="D42" s="233">
        <v>1</v>
      </c>
      <c r="E42" s="233">
        <v>1</v>
      </c>
      <c r="F42" s="233">
        <v>1</v>
      </c>
      <c r="G42" s="233">
        <v>1</v>
      </c>
      <c r="H42" s="233">
        <v>1</v>
      </c>
      <c r="I42" s="342" t="s">
        <v>856</v>
      </c>
      <c r="J42" s="643" t="s">
        <v>1084</v>
      </c>
    </row>
    <row r="43" spans="1:10" x14ac:dyDescent="0.25">
      <c r="A43" s="227" t="s">
        <v>840</v>
      </c>
      <c r="B43" s="220">
        <f>VLOOKUP($A43,ITEMS_Tech_E!$B$7:$E$82,2,FALSE)</f>
        <v>1</v>
      </c>
      <c r="C43" s="233">
        <v>1</v>
      </c>
      <c r="D43" s="233">
        <v>1</v>
      </c>
      <c r="E43" s="233">
        <v>1</v>
      </c>
      <c r="F43" s="233">
        <v>1</v>
      </c>
      <c r="G43" s="233">
        <v>1</v>
      </c>
      <c r="H43" s="233">
        <v>1</v>
      </c>
      <c r="I43" s="342" t="s">
        <v>856</v>
      </c>
      <c r="J43" s="643" t="s">
        <v>1086</v>
      </c>
    </row>
    <row r="44" spans="1:10" x14ac:dyDescent="0.25">
      <c r="A44" s="227" t="s">
        <v>842</v>
      </c>
      <c r="B44" s="220">
        <f>VLOOKUP($A44,ITEMS_Tech_E!$B$7:$E$82,2,FALSE)</f>
        <v>1</v>
      </c>
      <c r="C44" s="233">
        <v>1</v>
      </c>
      <c r="D44" s="233">
        <v>1</v>
      </c>
      <c r="E44" s="233">
        <v>1</v>
      </c>
      <c r="F44" s="233">
        <v>1</v>
      </c>
      <c r="G44" s="233">
        <v>1</v>
      </c>
      <c r="H44" s="233">
        <v>1</v>
      </c>
      <c r="I44" s="342" t="s">
        <v>856</v>
      </c>
      <c r="J44" s="643" t="s">
        <v>1088</v>
      </c>
    </row>
    <row r="45" spans="1:10" x14ac:dyDescent="0.25">
      <c r="A45" s="227" t="s">
        <v>844</v>
      </c>
      <c r="B45" s="220">
        <f>VLOOKUP($A45,ITEMS_Tech_E!$B$7:$E$82,2,FALSE)</f>
        <v>1</v>
      </c>
      <c r="C45" s="233">
        <v>1</v>
      </c>
      <c r="D45" s="233">
        <v>1</v>
      </c>
      <c r="E45" s="233">
        <v>1</v>
      </c>
      <c r="F45" s="233">
        <v>1</v>
      </c>
      <c r="G45" s="233">
        <v>1</v>
      </c>
      <c r="H45" s="233">
        <v>1</v>
      </c>
      <c r="I45" s="342" t="s">
        <v>856</v>
      </c>
      <c r="J45" s="643" t="s">
        <v>1090</v>
      </c>
    </row>
    <row r="46" spans="1:10" x14ac:dyDescent="0.25">
      <c r="A46" s="227" t="s">
        <v>846</v>
      </c>
      <c r="B46" s="220">
        <f>VLOOKUP($A46,ITEMS_Tech_E!$B$7:$E$82,2,FALSE)</f>
        <v>1</v>
      </c>
      <c r="C46" s="233">
        <v>1</v>
      </c>
      <c r="D46" s="233">
        <v>1</v>
      </c>
      <c r="E46" s="233">
        <v>1</v>
      </c>
      <c r="F46" s="233">
        <v>1</v>
      </c>
      <c r="G46" s="233">
        <v>1</v>
      </c>
      <c r="H46" s="233">
        <v>1</v>
      </c>
      <c r="I46" s="342" t="s">
        <v>856</v>
      </c>
      <c r="J46" s="643" t="s">
        <v>1092</v>
      </c>
    </row>
    <row r="47" spans="1:10" x14ac:dyDescent="0.25">
      <c r="A47" s="227"/>
      <c r="B47" s="220"/>
      <c r="C47" s="233"/>
      <c r="D47" s="233"/>
      <c r="E47" s="233"/>
      <c r="F47" s="233"/>
      <c r="G47" s="233"/>
      <c r="H47" s="233"/>
      <c r="I47" s="233"/>
      <c r="J47" s="643"/>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1AAE0F-3C82-479F-AB5F-000921C874F5}">
  <sheetPr>
    <tabColor theme="7" tint="0.59999389629810485"/>
  </sheetPr>
  <dimension ref="A1:R48"/>
  <sheetViews>
    <sheetView workbookViewId="0"/>
  </sheetViews>
  <sheetFormatPr defaultRowHeight="15" x14ac:dyDescent="0.25"/>
  <cols>
    <col min="1" max="1" width="15.42578125" bestFit="1" customWidth="1"/>
    <col min="2" max="2" width="36" bestFit="1" customWidth="1"/>
    <col min="3" max="3" width="11.42578125" bestFit="1" customWidth="1"/>
    <col min="4" max="9" width="11.5703125" bestFit="1" customWidth="1"/>
    <col min="16" max="16" width="11.42578125" bestFit="1" customWidth="1"/>
    <col min="17" max="17" width="40.5703125" bestFit="1" customWidth="1"/>
    <col min="18" max="18" width="15.5703125" bestFit="1" customWidth="1"/>
  </cols>
  <sheetData>
    <row r="1" spans="1:18" ht="18" thickBot="1" x14ac:dyDescent="0.35">
      <c r="A1" s="1" t="s">
        <v>1104</v>
      </c>
    </row>
    <row r="2" spans="1:18" ht="15.75" thickTop="1" x14ac:dyDescent="0.25"/>
    <row r="3" spans="1:18" ht="15.75" thickBot="1" x14ac:dyDescent="0.3">
      <c r="A3" s="2" t="s">
        <v>1</v>
      </c>
      <c r="B3" s="2" t="s">
        <v>548</v>
      </c>
      <c r="C3" s="2">
        <v>2012</v>
      </c>
      <c r="D3" s="2">
        <v>2012</v>
      </c>
      <c r="E3" s="2">
        <v>2017</v>
      </c>
      <c r="F3" s="2">
        <v>2020</v>
      </c>
      <c r="G3" s="2">
        <v>2030</v>
      </c>
      <c r="H3" s="2">
        <v>2040</v>
      </c>
      <c r="I3" s="2">
        <v>2050</v>
      </c>
      <c r="J3" s="2">
        <v>2012</v>
      </c>
      <c r="K3" s="2">
        <v>2017</v>
      </c>
      <c r="L3" s="2">
        <v>2020</v>
      </c>
      <c r="M3" s="2">
        <v>2030</v>
      </c>
      <c r="N3" s="2">
        <v>2040</v>
      </c>
      <c r="O3" s="2">
        <v>2050</v>
      </c>
      <c r="P3" s="2" t="s">
        <v>232</v>
      </c>
      <c r="Q3" s="2" t="s">
        <v>501</v>
      </c>
      <c r="R3" s="645" t="s">
        <v>1156</v>
      </c>
    </row>
    <row r="4" spans="1:18" x14ac:dyDescent="0.25">
      <c r="A4" s="220"/>
      <c r="B4" s="220"/>
      <c r="C4" s="390" t="s">
        <v>549</v>
      </c>
      <c r="D4" s="390"/>
      <c r="E4" s="390"/>
      <c r="F4" s="390"/>
      <c r="G4" s="390"/>
      <c r="H4" s="390"/>
      <c r="I4" s="390"/>
      <c r="J4" s="234" t="s">
        <v>215</v>
      </c>
      <c r="K4" s="234"/>
      <c r="L4" s="234"/>
      <c r="M4" s="234"/>
      <c r="N4" s="234"/>
      <c r="O4" s="234"/>
      <c r="P4" s="234" t="s">
        <v>550</v>
      </c>
      <c r="Q4" s="234"/>
      <c r="R4" s="643" t="s">
        <v>957</v>
      </c>
    </row>
    <row r="5" spans="1:18" x14ac:dyDescent="0.25">
      <c r="A5" s="220" t="s">
        <v>468</v>
      </c>
      <c r="B5" s="228">
        <f>VLOOKUP($A5,ITEMS_Tech_E!$B$7:$E$82,2,FALSE)</f>
        <v>1</v>
      </c>
      <c r="C5" s="394">
        <f>Analytica!H17</f>
        <v>60000</v>
      </c>
      <c r="D5" s="394">
        <f>Analytica!I17</f>
        <v>53296.583187381897</v>
      </c>
      <c r="E5" s="394">
        <f>Analytica!J17</f>
        <v>25519.3702773902</v>
      </c>
      <c r="F5" s="394">
        <f>Analytica!K17</f>
        <v>20224.127065240998</v>
      </c>
      <c r="G5" s="394">
        <f>Analytica!L17</f>
        <v>9102.8605766817</v>
      </c>
      <c r="H5" s="394">
        <f>Analytica!M17</f>
        <v>3988.6494324368</v>
      </c>
      <c r="I5" s="394">
        <f>Analytica!N17</f>
        <v>1718.2224683684799</v>
      </c>
      <c r="J5" s="235">
        <f>D5/$C5</f>
        <v>0.88827638645636497</v>
      </c>
      <c r="K5" s="235">
        <f t="shared" ref="K5:K35" si="0">E5/$C5</f>
        <v>0.42532283795650333</v>
      </c>
      <c r="L5" s="235">
        <f t="shared" ref="L5:L35" si="1">F5/$C5</f>
        <v>0.33706878442068333</v>
      </c>
      <c r="M5" s="235">
        <f t="shared" ref="M5:M35" si="2">G5/$C5</f>
        <v>0.15171434294469499</v>
      </c>
      <c r="N5" s="235">
        <f t="shared" ref="N5:N35" si="3">H5/$C5</f>
        <v>6.6477490540613332E-2</v>
      </c>
      <c r="O5" s="235">
        <f t="shared" ref="O5:O35" si="4">I5/$C5</f>
        <v>2.8637041139474666E-2</v>
      </c>
      <c r="P5" s="235">
        <f t="shared" ref="P5:P36" si="5">C5*0.000001</f>
        <v>0.06</v>
      </c>
      <c r="Q5" s="345" t="s">
        <v>855</v>
      </c>
      <c r="R5" s="643" t="s">
        <v>938</v>
      </c>
    </row>
    <row r="6" spans="1:18" x14ac:dyDescent="0.25">
      <c r="A6" s="220" t="s">
        <v>469</v>
      </c>
      <c r="B6" s="220">
        <f>VLOOKUP($A6,ITEMS_Tech_E!$B$7:$E$82,2,FALSE)</f>
        <v>1</v>
      </c>
      <c r="C6" s="395">
        <f>Analytica!H18</f>
        <v>22500</v>
      </c>
      <c r="D6" s="395">
        <f>Analytica!I18</f>
        <v>18220.3496192737</v>
      </c>
      <c r="E6" s="395">
        <f>Analytica!J18</f>
        <v>16729.5435106636</v>
      </c>
      <c r="F6" s="395">
        <f>Analytica!K18</f>
        <v>14965.0729005177</v>
      </c>
      <c r="G6" s="395">
        <f>Analytica!L18</f>
        <v>10532.204599749301</v>
      </c>
      <c r="H6" s="395">
        <f>Analytica!M18</f>
        <v>7571.5770122505701</v>
      </c>
      <c r="I6" s="395">
        <f>Analytica!N18</f>
        <v>5398.4896574824297</v>
      </c>
      <c r="J6" s="233">
        <f t="shared" ref="J6:J35" si="6">D6/$C6</f>
        <v>0.80979331641216445</v>
      </c>
      <c r="K6" s="233">
        <f t="shared" si="0"/>
        <v>0.74353526714060447</v>
      </c>
      <c r="L6" s="233">
        <f t="shared" si="1"/>
        <v>0.66511435113411999</v>
      </c>
      <c r="M6" s="233">
        <f t="shared" si="2"/>
        <v>0.46809798221108001</v>
      </c>
      <c r="N6" s="233">
        <f t="shared" si="3"/>
        <v>0.33651453387780311</v>
      </c>
      <c r="O6" s="233">
        <f t="shared" si="4"/>
        <v>0.23993287366588575</v>
      </c>
      <c r="P6" s="233">
        <f t="shared" si="5"/>
        <v>2.2499999999999999E-2</v>
      </c>
      <c r="Q6" s="342" t="s">
        <v>855</v>
      </c>
      <c r="R6" s="643" t="s">
        <v>940</v>
      </c>
    </row>
    <row r="7" spans="1:18" x14ac:dyDescent="0.25">
      <c r="A7" s="220" t="s">
        <v>470</v>
      </c>
      <c r="B7" s="220">
        <f>VLOOKUP($A7,ITEMS_Tech_E!$B$7:$E$82,2,FALSE)</f>
        <v>1</v>
      </c>
      <c r="C7" s="395">
        <f>Analytica!H19</f>
        <v>19100</v>
      </c>
      <c r="D7" s="395">
        <f>Analytica!I19</f>
        <v>12852.747242613699</v>
      </c>
      <c r="E7" s="395">
        <f>Analytica!J19</f>
        <v>12637.1850755821</v>
      </c>
      <c r="F7" s="395">
        <f>Analytica!K19</f>
        <v>11601.9930786731</v>
      </c>
      <c r="G7" s="395">
        <f>Analytica!L19</f>
        <v>8633.7368714345102</v>
      </c>
      <c r="H7" s="395">
        <f>Analytica!M19</f>
        <v>6268.2969175736998</v>
      </c>
      <c r="I7" s="395">
        <f>Analytica!N19</f>
        <v>4452.4601660594199</v>
      </c>
      <c r="J7" s="233">
        <f t="shared" si="6"/>
        <v>0.67291870380176433</v>
      </c>
      <c r="K7" s="233">
        <f t="shared" si="0"/>
        <v>0.66163272647026705</v>
      </c>
      <c r="L7" s="233">
        <f t="shared" si="1"/>
        <v>0.60743419260068587</v>
      </c>
      <c r="M7" s="233">
        <f t="shared" si="2"/>
        <v>0.45202810845206859</v>
      </c>
      <c r="N7" s="233">
        <f t="shared" si="3"/>
        <v>0.32818308468972252</v>
      </c>
      <c r="O7" s="233">
        <f t="shared" si="4"/>
        <v>0.23311309769944608</v>
      </c>
      <c r="P7" s="233">
        <f t="shared" si="5"/>
        <v>1.9099999999999999E-2</v>
      </c>
      <c r="Q7" s="342" t="s">
        <v>855</v>
      </c>
      <c r="R7" s="643" t="s">
        <v>942</v>
      </c>
    </row>
    <row r="8" spans="1:18" x14ac:dyDescent="0.25">
      <c r="A8" s="220" t="s">
        <v>471</v>
      </c>
      <c r="B8" s="220">
        <f>VLOOKUP($A8,ITEMS_Tech_E!$B$7:$E$82,2,FALSE)</f>
        <v>0</v>
      </c>
      <c r="C8" s="395">
        <f>Analytica!H20</f>
        <v>22500</v>
      </c>
      <c r="D8" s="395">
        <f>Analytica!I20</f>
        <v>19881.719170397148</v>
      </c>
      <c r="E8" s="395">
        <f>Analytica!J20</f>
        <v>19881.719170397148</v>
      </c>
      <c r="F8" s="395">
        <f>Analytica!K20</f>
        <v>19881.719170397148</v>
      </c>
      <c r="G8" s="395">
        <f>Analytica!L20</f>
        <v>19881.719170397148</v>
      </c>
      <c r="H8" s="395">
        <f>Analytica!M20</f>
        <v>19881.719170397148</v>
      </c>
      <c r="I8" s="395">
        <f>Analytica!N20</f>
        <v>19881.719170397148</v>
      </c>
      <c r="J8" s="233">
        <f t="shared" si="6"/>
        <v>0.88363196312876213</v>
      </c>
      <c r="K8" s="233">
        <f t="shared" si="0"/>
        <v>0.88363196312876213</v>
      </c>
      <c r="L8" s="233">
        <f t="shared" si="1"/>
        <v>0.88363196312876213</v>
      </c>
      <c r="M8" s="233">
        <f t="shared" si="2"/>
        <v>0.88363196312876213</v>
      </c>
      <c r="N8" s="233">
        <f t="shared" si="3"/>
        <v>0.88363196312876213</v>
      </c>
      <c r="O8" s="233">
        <f t="shared" si="4"/>
        <v>0.88363196312876213</v>
      </c>
      <c r="P8" s="233">
        <f t="shared" si="5"/>
        <v>2.2499999999999999E-2</v>
      </c>
      <c r="Q8" s="342" t="s">
        <v>855</v>
      </c>
      <c r="R8" s="643" t="s">
        <v>944</v>
      </c>
    </row>
    <row r="9" spans="1:18" x14ac:dyDescent="0.25">
      <c r="A9" s="220" t="s">
        <v>472</v>
      </c>
      <c r="B9" s="220">
        <f>VLOOKUP($A9,ITEMS_Tech_E!$B$7:$E$82,2,FALSE)</f>
        <v>1</v>
      </c>
      <c r="C9" s="395">
        <f>Analytica!H21</f>
        <v>20000</v>
      </c>
      <c r="D9" s="395">
        <f>Analytica!I21</f>
        <v>18345.381909407301</v>
      </c>
      <c r="E9" s="395">
        <f>Analytica!J21</f>
        <v>16469.932811344399</v>
      </c>
      <c r="F9" s="395">
        <f>Analytica!K21</f>
        <v>14637.8162878194</v>
      </c>
      <c r="G9" s="395">
        <f>Analytica!L21</f>
        <v>9973.7333703914101</v>
      </c>
      <c r="H9" s="395">
        <f>Analytica!M21</f>
        <v>6889.2289892889703</v>
      </c>
      <c r="I9" s="395">
        <f>Analytica!N21</f>
        <v>4793.0348277191597</v>
      </c>
      <c r="J9" s="233">
        <f t="shared" si="6"/>
        <v>0.91726909547036506</v>
      </c>
      <c r="K9" s="233">
        <f t="shared" si="0"/>
        <v>0.82349664056721994</v>
      </c>
      <c r="L9" s="233">
        <f t="shared" si="1"/>
        <v>0.73189081439097003</v>
      </c>
      <c r="M9" s="233">
        <f t="shared" si="2"/>
        <v>0.4986866685195705</v>
      </c>
      <c r="N9" s="233">
        <f t="shared" si="3"/>
        <v>0.34446144946444851</v>
      </c>
      <c r="O9" s="233">
        <f t="shared" si="4"/>
        <v>0.23965174138595799</v>
      </c>
      <c r="P9" s="233">
        <f t="shared" si="5"/>
        <v>0.02</v>
      </c>
      <c r="Q9" s="342" t="s">
        <v>855</v>
      </c>
      <c r="R9" s="643" t="s">
        <v>946</v>
      </c>
    </row>
    <row r="10" spans="1:18" x14ac:dyDescent="0.25">
      <c r="A10" s="220" t="s">
        <v>473</v>
      </c>
      <c r="B10" s="220">
        <f>VLOOKUP($A10,ITEMS_Tech_E!$B$7:$E$82,2,FALSE)</f>
        <v>1</v>
      </c>
      <c r="C10" s="395">
        <f>Analytica!H22</f>
        <v>22500</v>
      </c>
      <c r="D10" s="395">
        <f>Analytica!I22</f>
        <v>21358.407707781298</v>
      </c>
      <c r="E10" s="395">
        <f>Analytica!J22</f>
        <v>21176.992852249601</v>
      </c>
      <c r="F10" s="395">
        <f>Analytica!K22</f>
        <v>18784.2219075748</v>
      </c>
      <c r="G10" s="395">
        <f>Analytica!L22</f>
        <v>12612.1000996887</v>
      </c>
      <c r="H10" s="395">
        <f>Analytica!M22</f>
        <v>8490.9030310877897</v>
      </c>
      <c r="I10" s="395">
        <f>Analytica!N22</f>
        <v>5732.69771320774</v>
      </c>
      <c r="J10" s="233">
        <f t="shared" si="6"/>
        <v>0.94926256479027993</v>
      </c>
      <c r="K10" s="233">
        <f t="shared" si="0"/>
        <v>0.94119968232220452</v>
      </c>
      <c r="L10" s="233">
        <f t="shared" si="1"/>
        <v>0.83485430700332441</v>
      </c>
      <c r="M10" s="233">
        <f t="shared" si="2"/>
        <v>0.56053778220838668</v>
      </c>
      <c r="N10" s="233">
        <f t="shared" si="3"/>
        <v>0.37737346804834621</v>
      </c>
      <c r="O10" s="233">
        <f t="shared" si="4"/>
        <v>0.25478656503145514</v>
      </c>
      <c r="P10" s="233">
        <f t="shared" si="5"/>
        <v>2.2499999999999999E-2</v>
      </c>
      <c r="Q10" s="342" t="s">
        <v>855</v>
      </c>
      <c r="R10" s="643" t="s">
        <v>1004</v>
      </c>
    </row>
    <row r="11" spans="1:18" x14ac:dyDescent="0.25">
      <c r="A11" s="220" t="s">
        <v>474</v>
      </c>
      <c r="B11" s="220">
        <f>VLOOKUP($A11,ITEMS_Tech_E!$B$7:$E$82,2,FALSE)</f>
        <v>1</v>
      </c>
      <c r="C11" s="395">
        <f>Analytica!H23</f>
        <v>55000</v>
      </c>
      <c r="D11" s="395">
        <f>Analytica!I23</f>
        <v>30805.1279861556</v>
      </c>
      <c r="E11" s="395">
        <f>Analytica!J23</f>
        <v>28672.905293975698</v>
      </c>
      <c r="F11" s="395">
        <f>Analytica!K23</f>
        <v>22087.9979749747</v>
      </c>
      <c r="G11" s="395">
        <f>Analytica!L23</f>
        <v>10770.667037622199</v>
      </c>
      <c r="H11" s="395">
        <f>Analytica!M23</f>
        <v>5163.7604055934698</v>
      </c>
      <c r="I11" s="395">
        <f>Analytica!N23</f>
        <v>2380.8493192292499</v>
      </c>
      <c r="J11" s="233">
        <f t="shared" si="6"/>
        <v>0.56009323611191997</v>
      </c>
      <c r="K11" s="233">
        <f t="shared" si="0"/>
        <v>0.52132555079955811</v>
      </c>
      <c r="L11" s="233">
        <f t="shared" si="1"/>
        <v>0.40159996318135815</v>
      </c>
      <c r="M11" s="233">
        <f t="shared" si="2"/>
        <v>0.19583030977494909</v>
      </c>
      <c r="N11" s="233">
        <f t="shared" si="3"/>
        <v>9.3886552828972181E-2</v>
      </c>
      <c r="O11" s="233">
        <f t="shared" si="4"/>
        <v>4.3288169440531814E-2</v>
      </c>
      <c r="P11" s="233">
        <f t="shared" si="5"/>
        <v>5.5E-2</v>
      </c>
      <c r="Q11" s="342" t="s">
        <v>855</v>
      </c>
      <c r="R11" s="643" t="s">
        <v>1006</v>
      </c>
    </row>
    <row r="12" spans="1:18" x14ac:dyDescent="0.25">
      <c r="A12" s="220" t="s">
        <v>475</v>
      </c>
      <c r="B12" s="220">
        <f>VLOOKUP($A12,ITEMS_Tech_E!$B$7:$E$82,2,FALSE)</f>
        <v>1</v>
      </c>
      <c r="C12" s="395">
        <f>Analytica!H24</f>
        <v>48000</v>
      </c>
      <c r="D12" s="395">
        <f>Analytica!I24</f>
        <v>17100.2801251579</v>
      </c>
      <c r="E12" s="395">
        <f>Analytica!J24</f>
        <v>13782.969469301601</v>
      </c>
      <c r="F12" s="395">
        <f>Analytica!K24</f>
        <v>12796.259204828801</v>
      </c>
      <c r="G12" s="395">
        <f>Analytica!L24</f>
        <v>10147.057094637899</v>
      </c>
      <c r="H12" s="395">
        <f>Analytica!M24</f>
        <v>6586.2943384510099</v>
      </c>
      <c r="I12" s="395">
        <f>Analytica!N24</f>
        <v>3740.6636764421</v>
      </c>
      <c r="J12" s="233">
        <f t="shared" si="6"/>
        <v>0.35625583594078958</v>
      </c>
      <c r="K12" s="233">
        <f t="shared" si="0"/>
        <v>0.28714519727711668</v>
      </c>
      <c r="L12" s="233">
        <f t="shared" si="1"/>
        <v>0.26658873343393336</v>
      </c>
      <c r="M12" s="233">
        <f t="shared" si="2"/>
        <v>0.21139702280495623</v>
      </c>
      <c r="N12" s="233">
        <f t="shared" si="3"/>
        <v>0.13721446538439605</v>
      </c>
      <c r="O12" s="233">
        <f t="shared" si="4"/>
        <v>7.793049325921042E-2</v>
      </c>
      <c r="P12" s="233">
        <f t="shared" si="5"/>
        <v>4.8000000000000001E-2</v>
      </c>
      <c r="Q12" s="342" t="s">
        <v>855</v>
      </c>
      <c r="R12" s="643" t="s">
        <v>1008</v>
      </c>
    </row>
    <row r="13" spans="1:18" x14ac:dyDescent="0.25">
      <c r="A13" s="220" t="s">
        <v>476</v>
      </c>
      <c r="B13" s="220">
        <f>VLOOKUP($A13,ITEMS_Tech_E!$B$7:$E$82,2,FALSE)</f>
        <v>1</v>
      </c>
      <c r="C13" s="395">
        <f>Analytica!H25</f>
        <v>48000</v>
      </c>
      <c r="D13" s="395">
        <f>Analytica!I25</f>
        <v>30096.280108149898</v>
      </c>
      <c r="E13" s="395">
        <f>Analytica!J25</f>
        <v>29561.999562574299</v>
      </c>
      <c r="F13" s="395">
        <f>Analytica!K25</f>
        <v>24497.736432427999</v>
      </c>
      <c r="G13" s="395">
        <f>Analytica!L25</f>
        <v>14610.929875231801</v>
      </c>
      <c r="H13" s="395">
        <f>Analytica!M25</f>
        <v>8543.2253063316602</v>
      </c>
      <c r="I13" s="395">
        <f>Analytica!N25</f>
        <v>4821.5844473183597</v>
      </c>
      <c r="J13" s="233">
        <f t="shared" si="6"/>
        <v>0.62700583558645617</v>
      </c>
      <c r="K13" s="233">
        <f t="shared" si="0"/>
        <v>0.61587499088696462</v>
      </c>
      <c r="L13" s="233">
        <f t="shared" si="1"/>
        <v>0.51036950900891664</v>
      </c>
      <c r="M13" s="233">
        <f t="shared" si="2"/>
        <v>0.30439437240066253</v>
      </c>
      <c r="N13" s="233">
        <f t="shared" si="3"/>
        <v>0.17798386054857626</v>
      </c>
      <c r="O13" s="233">
        <f t="shared" si="4"/>
        <v>0.10044967598579917</v>
      </c>
      <c r="P13" s="233">
        <f t="shared" si="5"/>
        <v>4.8000000000000001E-2</v>
      </c>
      <c r="Q13" s="342" t="s">
        <v>855</v>
      </c>
      <c r="R13" s="643" t="s">
        <v>1010</v>
      </c>
    </row>
    <row r="14" spans="1:18" x14ac:dyDescent="0.25">
      <c r="A14" s="220" t="s">
        <v>477</v>
      </c>
      <c r="B14" s="220">
        <f>VLOOKUP($A14,ITEMS_Tech_E!$B$7:$E$82,2,FALSE)</f>
        <v>1</v>
      </c>
      <c r="C14" s="395">
        <f>Analytica!H26</f>
        <v>85000</v>
      </c>
      <c r="D14" s="395">
        <f>Analytica!I26</f>
        <v>54512.527353451602</v>
      </c>
      <c r="E14" s="395">
        <f>Analytica!J26</f>
        <v>52619.682956395503</v>
      </c>
      <c r="F14" s="395">
        <f>Analytica!K26</f>
        <v>43616.915096980403</v>
      </c>
      <c r="G14" s="395">
        <f>Analytica!L26</f>
        <v>25805.432955472199</v>
      </c>
      <c r="H14" s="395">
        <f>Analytica!M26</f>
        <v>14967.2392135424</v>
      </c>
      <c r="I14" s="395">
        <f>Analytica!N26</f>
        <v>8441.3826533075207</v>
      </c>
      <c r="J14" s="233">
        <f t="shared" si="6"/>
        <v>0.64132385121707769</v>
      </c>
      <c r="K14" s="233">
        <f t="shared" si="0"/>
        <v>0.61905509360465294</v>
      </c>
      <c r="L14" s="233">
        <f t="shared" si="1"/>
        <v>0.51314017761153419</v>
      </c>
      <c r="M14" s="233">
        <f t="shared" si="2"/>
        <v>0.30359332888790824</v>
      </c>
      <c r="N14" s="233">
        <f t="shared" si="3"/>
        <v>0.17608516721814588</v>
      </c>
      <c r="O14" s="233">
        <f t="shared" si="4"/>
        <v>9.9310384156559073E-2</v>
      </c>
      <c r="P14" s="233">
        <f t="shared" si="5"/>
        <v>8.4999999999999992E-2</v>
      </c>
      <c r="Q14" s="342" t="s">
        <v>855</v>
      </c>
      <c r="R14" s="643" t="s">
        <v>1012</v>
      </c>
    </row>
    <row r="15" spans="1:18" x14ac:dyDescent="0.25">
      <c r="A15" s="220" t="s">
        <v>478</v>
      </c>
      <c r="B15" s="220">
        <f>VLOOKUP($A15,ITEMS_Tech_E!$B$7:$E$82,2,FALSE)</f>
        <v>1</v>
      </c>
      <c r="C15" s="395">
        <f>Analytica!H27</f>
        <v>85000</v>
      </c>
      <c r="D15" s="395">
        <f>Analytica!I27</f>
        <v>53608.118344618502</v>
      </c>
      <c r="E15" s="395">
        <f>Analytica!J27</f>
        <v>49633.5682573101</v>
      </c>
      <c r="F15" s="395">
        <f>Analytica!K27</f>
        <v>41178.3179414927</v>
      </c>
      <c r="G15" s="395">
        <f>Analytica!L27</f>
        <v>24580.907353317001</v>
      </c>
      <c r="H15" s="395">
        <f>Analytica!M27</f>
        <v>14555.057549323699</v>
      </c>
      <c r="I15" s="395">
        <f>Analytica!N27</f>
        <v>8354.6583221761994</v>
      </c>
      <c r="J15" s="233">
        <f t="shared" si="6"/>
        <v>0.63068374523080595</v>
      </c>
      <c r="K15" s="233">
        <f t="shared" si="0"/>
        <v>0.58392433243894237</v>
      </c>
      <c r="L15" s="233">
        <f t="shared" si="1"/>
        <v>0.48445079931167884</v>
      </c>
      <c r="M15" s="233">
        <f t="shared" si="2"/>
        <v>0.28918714533314122</v>
      </c>
      <c r="N15" s="233">
        <f t="shared" si="3"/>
        <v>0.17123597116851411</v>
      </c>
      <c r="O15" s="233">
        <f t="shared" si="4"/>
        <v>9.8290097907955287E-2</v>
      </c>
      <c r="P15" s="233">
        <f t="shared" si="5"/>
        <v>8.4999999999999992E-2</v>
      </c>
      <c r="Q15" s="342" t="s">
        <v>855</v>
      </c>
      <c r="R15" s="643" t="s">
        <v>1014</v>
      </c>
    </row>
    <row r="16" spans="1:18" x14ac:dyDescent="0.25">
      <c r="A16" s="220" t="s">
        <v>479</v>
      </c>
      <c r="B16" s="220">
        <f>VLOOKUP($A16,ITEMS_Tech_E!$B$7:$E$82,2,FALSE)</f>
        <v>1</v>
      </c>
      <c r="C16" s="395">
        <f>Analytica!H28</f>
        <v>110000</v>
      </c>
      <c r="D16" s="395">
        <f>Analytica!I28</f>
        <v>56756.7653972318</v>
      </c>
      <c r="E16" s="395">
        <f>Analytica!J28</f>
        <v>54633.576505741999</v>
      </c>
      <c r="F16" s="395">
        <f>Analytica!K28</f>
        <v>41042.438402302003</v>
      </c>
      <c r="G16" s="395">
        <f>Analytica!L28</f>
        <v>18555.788331098702</v>
      </c>
      <c r="H16" s="395">
        <f>Analytica!M28</f>
        <v>8191.3212326102703</v>
      </c>
      <c r="I16" s="395">
        <f>Analytica!N28</f>
        <v>3449.4908462179801</v>
      </c>
      <c r="J16" s="233">
        <f t="shared" si="6"/>
        <v>0.51597059452028904</v>
      </c>
      <c r="K16" s="233">
        <f t="shared" si="0"/>
        <v>0.49666887732492726</v>
      </c>
      <c r="L16" s="233">
        <f t="shared" si="1"/>
        <v>0.37311307638456365</v>
      </c>
      <c r="M16" s="233">
        <f t="shared" si="2"/>
        <v>0.16868898482817002</v>
      </c>
      <c r="N16" s="233">
        <f t="shared" si="3"/>
        <v>7.4466556660093372E-2</v>
      </c>
      <c r="O16" s="233">
        <f t="shared" si="4"/>
        <v>3.1359007692890725E-2</v>
      </c>
      <c r="P16" s="233">
        <f t="shared" si="5"/>
        <v>0.11</v>
      </c>
      <c r="Q16" s="342" t="s">
        <v>855</v>
      </c>
      <c r="R16" s="643" t="s">
        <v>1016</v>
      </c>
    </row>
    <row r="17" spans="1:18" x14ac:dyDescent="0.25">
      <c r="A17" s="220" t="s">
        <v>480</v>
      </c>
      <c r="B17" s="220">
        <f>VLOOKUP($A17,ITEMS_Tech_E!$B$7:$E$82,2,FALSE)</f>
        <v>1</v>
      </c>
      <c r="C17" s="395">
        <f>Analytica!H29</f>
        <v>110000</v>
      </c>
      <c r="D17" s="395">
        <f>Analytica!I29</f>
        <v>64512.330335483297</v>
      </c>
      <c r="E17" s="395">
        <f>Analytica!J29</f>
        <v>62778.924850520401</v>
      </c>
      <c r="F17" s="395">
        <f>Analytica!K29</f>
        <v>46955.9835203494</v>
      </c>
      <c r="G17" s="395">
        <f>Analytica!L29</f>
        <v>20285.547945611601</v>
      </c>
      <c r="H17" s="395">
        <f>Analytica!M29</f>
        <v>8631.9302356629196</v>
      </c>
      <c r="I17" s="395">
        <f>Analytica!N29</f>
        <v>3570.08746504808</v>
      </c>
      <c r="J17" s="233">
        <f t="shared" si="6"/>
        <v>0.58647573032257538</v>
      </c>
      <c r="K17" s="233">
        <f t="shared" si="0"/>
        <v>0.57071749864109456</v>
      </c>
      <c r="L17" s="233">
        <f t="shared" si="1"/>
        <v>0.42687257745772184</v>
      </c>
      <c r="M17" s="233">
        <f t="shared" si="2"/>
        <v>0.18441407223283274</v>
      </c>
      <c r="N17" s="233">
        <f t="shared" si="3"/>
        <v>7.847209305148109E-2</v>
      </c>
      <c r="O17" s="233">
        <f t="shared" si="4"/>
        <v>3.245534059134618E-2</v>
      </c>
      <c r="P17" s="233">
        <f t="shared" si="5"/>
        <v>0.11</v>
      </c>
      <c r="Q17" s="342" t="s">
        <v>855</v>
      </c>
      <c r="R17" s="643" t="s">
        <v>1018</v>
      </c>
    </row>
    <row r="18" spans="1:18" x14ac:dyDescent="0.25">
      <c r="A18" s="220" t="s">
        <v>481</v>
      </c>
      <c r="B18" s="220">
        <f>VLOOKUP($A18,ITEMS_Tech_E!$B$7:$E$82,2,FALSE)</f>
        <v>1</v>
      </c>
      <c r="C18" s="395">
        <f>Analytica!H30</f>
        <v>160000</v>
      </c>
      <c r="D18" s="395">
        <f>Analytica!I30</f>
        <v>92421.691229504097</v>
      </c>
      <c r="E18" s="395">
        <f>Analytica!J30</f>
        <v>86037.431296970695</v>
      </c>
      <c r="F18" s="395">
        <f>Analytica!K30</f>
        <v>64155.410108243101</v>
      </c>
      <c r="G18" s="395">
        <f>Analytica!L30</f>
        <v>28024.6432292338</v>
      </c>
      <c r="H18" s="395">
        <f>Analytica!M30</f>
        <v>12195.371251275001</v>
      </c>
      <c r="I18" s="395">
        <f>Analytica!N30</f>
        <v>5121.4205748258701</v>
      </c>
      <c r="J18" s="233">
        <f t="shared" si="6"/>
        <v>0.57763557018440059</v>
      </c>
      <c r="K18" s="233">
        <f t="shared" si="0"/>
        <v>0.5377339456060668</v>
      </c>
      <c r="L18" s="233">
        <f t="shared" si="1"/>
        <v>0.40097131317651941</v>
      </c>
      <c r="M18" s="233">
        <f t="shared" si="2"/>
        <v>0.17515402018271126</v>
      </c>
      <c r="N18" s="233">
        <f t="shared" si="3"/>
        <v>7.6221070320468751E-2</v>
      </c>
      <c r="O18" s="233">
        <f t="shared" si="4"/>
        <v>3.2008878592661688E-2</v>
      </c>
      <c r="P18" s="233">
        <f t="shared" si="5"/>
        <v>0.16</v>
      </c>
      <c r="Q18" s="342" t="s">
        <v>855</v>
      </c>
      <c r="R18" s="643" t="s">
        <v>1020</v>
      </c>
    </row>
    <row r="19" spans="1:18" x14ac:dyDescent="0.25">
      <c r="A19" s="220" t="s">
        <v>482</v>
      </c>
      <c r="B19" s="220">
        <f>VLOOKUP($A19,ITEMS_Tech_E!$B$7:$E$82,2,FALSE)</f>
        <v>1</v>
      </c>
      <c r="C19" s="395">
        <f>Analytica!H31</f>
        <v>160000</v>
      </c>
      <c r="D19" s="395">
        <f>Analytica!I31</f>
        <v>116959.183879244</v>
      </c>
      <c r="E19" s="395">
        <f>Analytica!J31</f>
        <v>108321.14497488301</v>
      </c>
      <c r="F19" s="395">
        <f>Analytica!K31</f>
        <v>80520.878723414993</v>
      </c>
      <c r="G19" s="395">
        <f>Analytica!L31</f>
        <v>32476.226352001198</v>
      </c>
      <c r="H19" s="395">
        <f>Analytica!M31</f>
        <v>13278.382623760401</v>
      </c>
      <c r="I19" s="395">
        <f>Analytica!N31</f>
        <v>5375.2466292250701</v>
      </c>
      <c r="J19" s="233">
        <f t="shared" si="6"/>
        <v>0.73099489924527494</v>
      </c>
      <c r="K19" s="233">
        <f t="shared" si="0"/>
        <v>0.67700715609301876</v>
      </c>
      <c r="L19" s="233">
        <f t="shared" si="1"/>
        <v>0.50325549202134368</v>
      </c>
      <c r="M19" s="233">
        <f t="shared" si="2"/>
        <v>0.20297641470000749</v>
      </c>
      <c r="N19" s="233">
        <f t="shared" si="3"/>
        <v>8.2989891398502505E-2</v>
      </c>
      <c r="O19" s="233">
        <f t="shared" si="4"/>
        <v>3.3595291432656688E-2</v>
      </c>
      <c r="P19" s="233">
        <f t="shared" si="5"/>
        <v>0.16</v>
      </c>
      <c r="Q19" s="342" t="s">
        <v>855</v>
      </c>
      <c r="R19" s="643" t="s">
        <v>1022</v>
      </c>
    </row>
    <row r="20" spans="1:18" x14ac:dyDescent="0.25">
      <c r="A20" s="220" t="s">
        <v>483</v>
      </c>
      <c r="B20" s="220">
        <f>VLOOKUP($A20,ITEMS_Tech_E!$B$7:$E$82,2,FALSE)</f>
        <v>1</v>
      </c>
      <c r="C20" s="395">
        <f>Analytica!H32</f>
        <v>180000</v>
      </c>
      <c r="D20" s="395">
        <f>Analytica!I32</f>
        <v>104002.58508794699</v>
      </c>
      <c r="E20" s="395">
        <f>Analytica!J32</f>
        <v>69373.326398147998</v>
      </c>
      <c r="F20" s="395">
        <f>Analytica!K32</f>
        <v>52280.701031171899</v>
      </c>
      <c r="G20" s="395">
        <f>Analytica!L32</f>
        <v>20947.497955455299</v>
      </c>
      <c r="H20" s="395">
        <f>Analytica!M32</f>
        <v>8703.9677725718902</v>
      </c>
      <c r="I20" s="395">
        <f>Analytica!N32</f>
        <v>3829.6675707590198</v>
      </c>
      <c r="J20" s="233">
        <f t="shared" si="6"/>
        <v>0.5777921393774833</v>
      </c>
      <c r="K20" s="233">
        <f t="shared" si="0"/>
        <v>0.3854073688786</v>
      </c>
      <c r="L20" s="233">
        <f t="shared" si="1"/>
        <v>0.29044833906206613</v>
      </c>
      <c r="M20" s="233">
        <f t="shared" si="2"/>
        <v>0.11637498864141833</v>
      </c>
      <c r="N20" s="233">
        <f t="shared" si="3"/>
        <v>4.8355376514288277E-2</v>
      </c>
      <c r="O20" s="233">
        <f t="shared" si="4"/>
        <v>2.1275930948661221E-2</v>
      </c>
      <c r="P20" s="233">
        <f t="shared" si="5"/>
        <v>0.18</v>
      </c>
      <c r="Q20" s="342" t="s">
        <v>855</v>
      </c>
      <c r="R20" s="643" t="s">
        <v>992</v>
      </c>
    </row>
    <row r="21" spans="1:18" x14ac:dyDescent="0.25">
      <c r="A21" s="220" t="s">
        <v>484</v>
      </c>
      <c r="B21" s="220">
        <f>VLOOKUP($A21,ITEMS_Tech_E!$B$7:$E$82,2,FALSE)</f>
        <v>1</v>
      </c>
      <c r="C21" s="395">
        <f>Analytica!H33</f>
        <v>40000</v>
      </c>
      <c r="D21" s="395">
        <f>Analytica!I33</f>
        <v>24753.4936084117</v>
      </c>
      <c r="E21" s="395">
        <f>Analytica!J33</f>
        <v>24428.944976716801</v>
      </c>
      <c r="F21" s="395">
        <f>Analytica!K33</f>
        <v>19880.903653884601</v>
      </c>
      <c r="G21" s="395">
        <f>Analytica!L33</f>
        <v>9810.8703686831195</v>
      </c>
      <c r="H21" s="395">
        <f>Analytica!M33</f>
        <v>4777.2385942184001</v>
      </c>
      <c r="I21" s="395">
        <f>Analytica!N33</f>
        <v>2310.21877327025</v>
      </c>
      <c r="J21" s="233">
        <f t="shared" si="6"/>
        <v>0.61883734021029246</v>
      </c>
      <c r="K21" s="233">
        <f t="shared" si="0"/>
        <v>0.61072362441792005</v>
      </c>
      <c r="L21" s="233">
        <f t="shared" si="1"/>
        <v>0.49702259134711502</v>
      </c>
      <c r="M21" s="233">
        <f t="shared" si="2"/>
        <v>0.245271759217078</v>
      </c>
      <c r="N21" s="233">
        <f t="shared" si="3"/>
        <v>0.11943096485546</v>
      </c>
      <c r="O21" s="233">
        <f t="shared" si="4"/>
        <v>5.7755469331756251E-2</v>
      </c>
      <c r="P21" s="233">
        <f t="shared" si="5"/>
        <v>0.04</v>
      </c>
      <c r="Q21" s="342" t="s">
        <v>855</v>
      </c>
      <c r="R21" s="643" t="s">
        <v>996</v>
      </c>
    </row>
    <row r="22" spans="1:18" x14ac:dyDescent="0.25">
      <c r="A22" s="220" t="s">
        <v>485</v>
      </c>
      <c r="B22" s="220">
        <f>VLOOKUP($A22,ITEMS_Tech_E!$B$7:$E$82,2,FALSE)</f>
        <v>1</v>
      </c>
      <c r="C22" s="395">
        <f>Analytica!H34</f>
        <v>35000</v>
      </c>
      <c r="D22" s="395">
        <f>Analytica!I34</f>
        <v>16984.001252855</v>
      </c>
      <c r="E22" s="395">
        <f>Analytica!J34</f>
        <v>15002.6868469618</v>
      </c>
      <c r="F22" s="395">
        <f>Analytica!K34</f>
        <v>12351.5851641552</v>
      </c>
      <c r="G22" s="395">
        <f>Analytica!L34</f>
        <v>6353.8900619384203</v>
      </c>
      <c r="H22" s="395">
        <f>Analytica!M34</f>
        <v>3228.5842202509998</v>
      </c>
      <c r="I22" s="395">
        <f>Analytica!N34</f>
        <v>1629.4894595599401</v>
      </c>
      <c r="J22" s="233">
        <f t="shared" si="6"/>
        <v>0.485257178653</v>
      </c>
      <c r="K22" s="233">
        <f t="shared" si="0"/>
        <v>0.42864819562748002</v>
      </c>
      <c r="L22" s="233">
        <f t="shared" si="1"/>
        <v>0.35290243326157716</v>
      </c>
      <c r="M22" s="233">
        <f t="shared" si="2"/>
        <v>0.18153971605538344</v>
      </c>
      <c r="N22" s="233">
        <f t="shared" si="3"/>
        <v>9.2245263435742852E-2</v>
      </c>
      <c r="O22" s="233">
        <f t="shared" si="4"/>
        <v>4.6556841701712572E-2</v>
      </c>
      <c r="P22" s="233">
        <f t="shared" si="5"/>
        <v>3.4999999999999996E-2</v>
      </c>
      <c r="Q22" s="342" t="s">
        <v>855</v>
      </c>
      <c r="R22" s="643" t="s">
        <v>967</v>
      </c>
    </row>
    <row r="23" spans="1:18" x14ac:dyDescent="0.25">
      <c r="A23" s="220" t="s">
        <v>486</v>
      </c>
      <c r="B23" s="220">
        <f>VLOOKUP($A23,ITEMS_Tech_E!$B$7:$E$82,2,FALSE)</f>
        <v>1</v>
      </c>
      <c r="C23" s="395">
        <f>Analytica!H35</f>
        <v>35000</v>
      </c>
      <c r="D23" s="395">
        <f>Analytica!I35</f>
        <v>30917.830131483901</v>
      </c>
      <c r="E23" s="395">
        <f>Analytica!J35</f>
        <v>30532.953139957201</v>
      </c>
      <c r="F23" s="395">
        <f>Analytica!K35</f>
        <v>27182.8817124589</v>
      </c>
      <c r="G23" s="395">
        <f>Analytica!L35</f>
        <v>18416.647506410402</v>
      </c>
      <c r="H23" s="395">
        <f>Analytica!M35</f>
        <v>12453.9826161237</v>
      </c>
      <c r="I23" s="395">
        <f>Analytica!N35</f>
        <v>8411.0396834741696</v>
      </c>
      <c r="J23" s="233">
        <f t="shared" si="6"/>
        <v>0.8833665751852543</v>
      </c>
      <c r="K23" s="233">
        <f t="shared" si="0"/>
        <v>0.87237008971306285</v>
      </c>
      <c r="L23" s="233">
        <f t="shared" si="1"/>
        <v>0.77665376321311141</v>
      </c>
      <c r="M23" s="233">
        <f t="shared" si="2"/>
        <v>0.52618992875458293</v>
      </c>
      <c r="N23" s="233">
        <f t="shared" si="3"/>
        <v>0.35582807474639144</v>
      </c>
      <c r="O23" s="233">
        <f t="shared" si="4"/>
        <v>0.24031541952783342</v>
      </c>
      <c r="P23" s="233">
        <f t="shared" si="5"/>
        <v>3.4999999999999996E-2</v>
      </c>
      <c r="Q23" s="342" t="s">
        <v>855</v>
      </c>
      <c r="R23" s="643" t="s">
        <v>969</v>
      </c>
    </row>
    <row r="24" spans="1:18" x14ac:dyDescent="0.25">
      <c r="A24" s="220" t="s">
        <v>487</v>
      </c>
      <c r="B24" s="220">
        <f>VLOOKUP($A24,ITEMS_Tech_E!$B$7:$E$82,2,FALSE)</f>
        <v>1</v>
      </c>
      <c r="C24" s="395">
        <f>Analytica!H36</f>
        <v>35000</v>
      </c>
      <c r="D24" s="395">
        <f>Analytica!I36</f>
        <v>20965.008962084201</v>
      </c>
      <c r="E24" s="395">
        <f>Analytica!J36</f>
        <v>20011.348468624099</v>
      </c>
      <c r="F24" s="395">
        <f>Analytica!K36</f>
        <v>18066.774551221399</v>
      </c>
      <c r="G24" s="395">
        <f>Analytica!L36</f>
        <v>12688.0908597256</v>
      </c>
      <c r="H24" s="395">
        <f>Analytica!M36</f>
        <v>8816.2136668335497</v>
      </c>
      <c r="I24" s="395">
        <f>Analytica!N36</f>
        <v>6086.20560407013</v>
      </c>
      <c r="J24" s="233">
        <f t="shared" si="6"/>
        <v>0.59900025605954865</v>
      </c>
      <c r="K24" s="233">
        <f t="shared" si="0"/>
        <v>0.57175281338925998</v>
      </c>
      <c r="L24" s="233">
        <f t="shared" si="1"/>
        <v>0.51619355860632565</v>
      </c>
      <c r="M24" s="233">
        <f t="shared" si="2"/>
        <v>0.36251688170644575</v>
      </c>
      <c r="N24" s="233">
        <f t="shared" si="3"/>
        <v>0.25189181905238711</v>
      </c>
      <c r="O24" s="233">
        <f t="shared" si="4"/>
        <v>0.17389158868771801</v>
      </c>
      <c r="P24" s="233">
        <f t="shared" si="5"/>
        <v>3.4999999999999996E-2</v>
      </c>
      <c r="Q24" s="342" t="s">
        <v>855</v>
      </c>
      <c r="R24" s="643" t="s">
        <v>921</v>
      </c>
    </row>
    <row r="25" spans="1:18" x14ac:dyDescent="0.25">
      <c r="A25" s="220" t="s">
        <v>488</v>
      </c>
      <c r="B25" s="220">
        <f>VLOOKUP($A25,ITEMS_Tech_E!$B$7:$E$82,2,FALSE)</f>
        <v>1</v>
      </c>
      <c r="C25" s="395">
        <f>Analytica!H37</f>
        <v>24000</v>
      </c>
      <c r="D25" s="395">
        <f>Analytica!I37</f>
        <v>20405.076992301299</v>
      </c>
      <c r="E25" s="395">
        <f>Analytica!J37</f>
        <v>19511.180861952002</v>
      </c>
      <c r="F25" s="395">
        <f>Analytica!K37</f>
        <v>17419.7175541467</v>
      </c>
      <c r="G25" s="395">
        <f>Analytica!L37</f>
        <v>12050.4561057059</v>
      </c>
      <c r="H25" s="395">
        <f>Analytica!M37</f>
        <v>8382.7765133576795</v>
      </c>
      <c r="I25" s="395">
        <f>Analytica!N37</f>
        <v>5814.8083685512802</v>
      </c>
      <c r="J25" s="233">
        <f t="shared" si="6"/>
        <v>0.8502115413458875</v>
      </c>
      <c r="K25" s="233">
        <f t="shared" si="0"/>
        <v>0.81296586924800007</v>
      </c>
      <c r="L25" s="233">
        <f t="shared" si="1"/>
        <v>0.72582156475611248</v>
      </c>
      <c r="M25" s="233">
        <f t="shared" si="2"/>
        <v>0.50210233773774582</v>
      </c>
      <c r="N25" s="233">
        <f t="shared" si="3"/>
        <v>0.34928235472323665</v>
      </c>
      <c r="O25" s="233">
        <f t="shared" si="4"/>
        <v>0.24228368202297001</v>
      </c>
      <c r="P25" s="233">
        <f t="shared" si="5"/>
        <v>2.4E-2</v>
      </c>
      <c r="Q25" s="342" t="s">
        <v>855</v>
      </c>
      <c r="R25" s="643" t="s">
        <v>928</v>
      </c>
    </row>
    <row r="26" spans="1:18" x14ac:dyDescent="0.25">
      <c r="A26" s="220" t="s">
        <v>489</v>
      </c>
      <c r="B26" s="220">
        <f>VLOOKUP($A26,ITEMS_Tech_E!$B$7:$E$82,2,FALSE)</f>
        <v>1</v>
      </c>
      <c r="C26" s="395">
        <f>Analytica!H38</f>
        <v>24000</v>
      </c>
      <c r="D26" s="395">
        <f>Analytica!I38</f>
        <v>22250.436222693301</v>
      </c>
      <c r="E26" s="395">
        <f>Analytica!J38</f>
        <v>19821.569272195698</v>
      </c>
      <c r="F26" s="395">
        <f>Analytica!K38</f>
        <v>17606.8432071348</v>
      </c>
      <c r="G26" s="395">
        <f>Analytica!L38</f>
        <v>11983.6448540203</v>
      </c>
      <c r="H26" s="395">
        <f>Analytica!M38</f>
        <v>8326.9925966743795</v>
      </c>
      <c r="I26" s="395">
        <f>Analytica!N38</f>
        <v>5878.6372192737799</v>
      </c>
      <c r="J26" s="233">
        <f t="shared" si="6"/>
        <v>0.92710150927888757</v>
      </c>
      <c r="K26" s="233">
        <f t="shared" si="0"/>
        <v>0.82589871967482076</v>
      </c>
      <c r="L26" s="233">
        <f t="shared" si="1"/>
        <v>0.73361846696394994</v>
      </c>
      <c r="M26" s="233">
        <f t="shared" si="2"/>
        <v>0.49931853558417916</v>
      </c>
      <c r="N26" s="233">
        <f t="shared" si="3"/>
        <v>0.34695802486143246</v>
      </c>
      <c r="O26" s="233">
        <f t="shared" si="4"/>
        <v>0.24494321746974082</v>
      </c>
      <c r="P26" s="233">
        <f t="shared" si="5"/>
        <v>2.4E-2</v>
      </c>
      <c r="Q26" s="342" t="s">
        <v>855</v>
      </c>
      <c r="R26" s="643" t="s">
        <v>924</v>
      </c>
    </row>
    <row r="27" spans="1:18" x14ac:dyDescent="0.25">
      <c r="A27" s="220" t="s">
        <v>490</v>
      </c>
      <c r="B27" s="220">
        <f>VLOOKUP($A27,ITEMS_Tech_E!$B$7:$E$82,2,FALSE)</f>
        <v>1</v>
      </c>
      <c r="C27" s="395">
        <f>Analytica!H39</f>
        <v>24000</v>
      </c>
      <c r="D27" s="395">
        <f>Analytica!I39</f>
        <v>19920.095193486901</v>
      </c>
      <c r="E27" s="395">
        <f>Analytica!J39</f>
        <v>19247.904422146901</v>
      </c>
      <c r="F27" s="395">
        <f>Analytica!K39</f>
        <v>17221.578522895001</v>
      </c>
      <c r="G27" s="395">
        <f>Analytica!L39</f>
        <v>11981.3118881143</v>
      </c>
      <c r="H27" s="395">
        <f>Analytica!M39</f>
        <v>8363.3055022655299</v>
      </c>
      <c r="I27" s="395">
        <f>Analytica!N39</f>
        <v>5811.1845750912098</v>
      </c>
      <c r="J27" s="233">
        <f t="shared" si="6"/>
        <v>0.83000396639528751</v>
      </c>
      <c r="K27" s="233">
        <f t="shared" si="0"/>
        <v>0.80199601758945427</v>
      </c>
      <c r="L27" s="233">
        <f t="shared" si="1"/>
        <v>0.71756577178729175</v>
      </c>
      <c r="M27" s="233">
        <f t="shared" si="2"/>
        <v>0.49922132867142915</v>
      </c>
      <c r="N27" s="233">
        <f t="shared" si="3"/>
        <v>0.34847106259439709</v>
      </c>
      <c r="O27" s="233">
        <f t="shared" si="4"/>
        <v>0.24213269062880041</v>
      </c>
      <c r="P27" s="233">
        <f t="shared" si="5"/>
        <v>2.4E-2</v>
      </c>
      <c r="Q27" s="342" t="s">
        <v>855</v>
      </c>
      <c r="R27" s="643" t="s">
        <v>936</v>
      </c>
    </row>
    <row r="28" spans="1:18" x14ac:dyDescent="0.25">
      <c r="A28" s="220" t="s">
        <v>491</v>
      </c>
      <c r="B28" s="220">
        <f>VLOOKUP($A28,ITEMS_Tech_E!$B$7:$E$82,2,FALSE)</f>
        <v>1</v>
      </c>
      <c r="C28" s="395">
        <f>Analytica!H40</f>
        <v>24000</v>
      </c>
      <c r="D28" s="395">
        <f>Analytica!I40</f>
        <v>21358.407707781298</v>
      </c>
      <c r="E28" s="395">
        <f>Analytica!J40</f>
        <v>21176.992852249601</v>
      </c>
      <c r="F28" s="395">
        <f>Analytica!K40</f>
        <v>18784.2219075748</v>
      </c>
      <c r="G28" s="395">
        <f>Analytica!L40</f>
        <v>12612.1000996887</v>
      </c>
      <c r="H28" s="395">
        <f>Analytica!M40</f>
        <v>8490.9030310877897</v>
      </c>
      <c r="I28" s="395">
        <f>Analytica!N40</f>
        <v>5732.69771320774</v>
      </c>
      <c r="J28" s="233">
        <f t="shared" si="6"/>
        <v>0.88993365449088746</v>
      </c>
      <c r="K28" s="233">
        <f t="shared" si="0"/>
        <v>0.88237470217706671</v>
      </c>
      <c r="L28" s="233">
        <f t="shared" si="1"/>
        <v>0.78267591281561666</v>
      </c>
      <c r="M28" s="233">
        <f t="shared" si="2"/>
        <v>0.52550417082036249</v>
      </c>
      <c r="N28" s="233">
        <f t="shared" si="3"/>
        <v>0.35378762629532456</v>
      </c>
      <c r="O28" s="233">
        <f t="shared" si="4"/>
        <v>0.23886240471698916</v>
      </c>
      <c r="P28" s="233">
        <f t="shared" si="5"/>
        <v>2.4E-2</v>
      </c>
      <c r="Q28" s="342" t="s">
        <v>855</v>
      </c>
      <c r="R28" s="643" t="s">
        <v>392</v>
      </c>
    </row>
    <row r="29" spans="1:18" x14ac:dyDescent="0.25">
      <c r="A29" s="220" t="s">
        <v>288</v>
      </c>
      <c r="B29" s="220">
        <f>VLOOKUP($A29,ITEMS_Tech_E!$B$7:$E$82,2,FALSE)</f>
        <v>1</v>
      </c>
      <c r="C29" s="395">
        <f>Analytica!H41</f>
        <v>15000</v>
      </c>
      <c r="D29" s="395">
        <f>Analytica!I41</f>
        <v>11451.6721676383</v>
      </c>
      <c r="E29" s="395">
        <f>Analytica!J41</f>
        <v>11116.953059764701</v>
      </c>
      <c r="F29" s="395">
        <f>Analytica!K41</f>
        <v>10096.559391532101</v>
      </c>
      <c r="G29" s="395">
        <f>Analytica!L41</f>
        <v>7345.1771465823203</v>
      </c>
      <c r="H29" s="395">
        <f>Analytica!M41</f>
        <v>5282.3949554629799</v>
      </c>
      <c r="I29" s="395">
        <f>Analytica!N41</f>
        <v>3714.2798699165101</v>
      </c>
      <c r="J29" s="233">
        <f t="shared" si="6"/>
        <v>0.7634448111758867</v>
      </c>
      <c r="K29" s="233">
        <f t="shared" si="0"/>
        <v>0.7411302039843134</v>
      </c>
      <c r="L29" s="233">
        <f t="shared" si="1"/>
        <v>0.67310395943547341</v>
      </c>
      <c r="M29" s="233">
        <f t="shared" si="2"/>
        <v>0.48967847643882134</v>
      </c>
      <c r="N29" s="233">
        <f t="shared" si="3"/>
        <v>0.35215966369753199</v>
      </c>
      <c r="O29" s="233">
        <f t="shared" si="4"/>
        <v>0.247618657994434</v>
      </c>
      <c r="P29" s="233">
        <f t="shared" si="5"/>
        <v>1.4999999999999999E-2</v>
      </c>
      <c r="Q29" s="342" t="s">
        <v>855</v>
      </c>
      <c r="R29" s="643" t="s">
        <v>401</v>
      </c>
    </row>
    <row r="30" spans="1:18" x14ac:dyDescent="0.25">
      <c r="A30" s="220" t="s">
        <v>291</v>
      </c>
      <c r="B30" s="220">
        <f>VLOOKUP($A30,ITEMS_Tech_E!$B$7:$E$82,2,FALSE)</f>
        <v>1</v>
      </c>
      <c r="C30" s="395">
        <f>Analytica!H42</f>
        <v>1000000</v>
      </c>
      <c r="D30" s="395">
        <f t="shared" ref="D30:I30" si="7">C30</f>
        <v>1000000</v>
      </c>
      <c r="E30" s="395">
        <f t="shared" si="7"/>
        <v>1000000</v>
      </c>
      <c r="F30" s="395">
        <f t="shared" si="7"/>
        <v>1000000</v>
      </c>
      <c r="G30" s="395">
        <f t="shared" si="7"/>
        <v>1000000</v>
      </c>
      <c r="H30" s="395">
        <f t="shared" si="7"/>
        <v>1000000</v>
      </c>
      <c r="I30" s="395">
        <f t="shared" si="7"/>
        <v>1000000</v>
      </c>
      <c r="J30" s="233">
        <f t="shared" si="6"/>
        <v>1</v>
      </c>
      <c r="K30" s="233">
        <f t="shared" si="0"/>
        <v>1</v>
      </c>
      <c r="L30" s="233">
        <f t="shared" si="1"/>
        <v>1</v>
      </c>
      <c r="M30" s="233">
        <f t="shared" si="2"/>
        <v>1</v>
      </c>
      <c r="N30" s="233">
        <f t="shared" si="3"/>
        <v>1</v>
      </c>
      <c r="O30" s="233">
        <f t="shared" si="4"/>
        <v>1</v>
      </c>
      <c r="P30" s="233">
        <f t="shared" si="5"/>
        <v>1</v>
      </c>
      <c r="Q30" s="342" t="s">
        <v>855</v>
      </c>
      <c r="R30" s="643" t="s">
        <v>930</v>
      </c>
    </row>
    <row r="31" spans="1:18" x14ac:dyDescent="0.25">
      <c r="A31" s="220" t="s">
        <v>558</v>
      </c>
      <c r="B31" s="220">
        <f>VLOOKUP($A31,ITEMS_Tech_E!$B$7:$E$82,2,FALSE)</f>
        <v>1</v>
      </c>
      <c r="C31" s="395">
        <f>Analytica!H43</f>
        <v>19920.095193486901</v>
      </c>
      <c r="D31" s="395">
        <f>Analytica!I43</f>
        <v>19920.095193486901</v>
      </c>
      <c r="E31" s="395"/>
      <c r="F31" s="395">
        <f>Analytica!K43</f>
        <v>17221.578522895001</v>
      </c>
      <c r="G31" s="395">
        <f>Analytica!L43</f>
        <v>11981.3118881143</v>
      </c>
      <c r="H31" s="395">
        <f>Analytica!M43</f>
        <v>8363.3055022655299</v>
      </c>
      <c r="I31" s="395">
        <f>Analytica!N43</f>
        <v>5811.1845750912098</v>
      </c>
      <c r="J31" s="233">
        <f t="shared" si="6"/>
        <v>1</v>
      </c>
      <c r="K31" s="233">
        <f t="shared" si="0"/>
        <v>0</v>
      </c>
      <c r="L31" s="233">
        <f t="shared" si="1"/>
        <v>0.86453294302156691</v>
      </c>
      <c r="M31" s="233">
        <f t="shared" si="2"/>
        <v>0.60146860603516217</v>
      </c>
      <c r="N31" s="233">
        <f t="shared" si="3"/>
        <v>0.41984264738855298</v>
      </c>
      <c r="O31" s="233">
        <f t="shared" si="4"/>
        <v>0.29172473919658987</v>
      </c>
      <c r="P31" s="233">
        <f t="shared" si="5"/>
        <v>1.9920095193486899E-2</v>
      </c>
      <c r="Q31" s="342" t="s">
        <v>855</v>
      </c>
      <c r="R31" s="643" t="s">
        <v>948</v>
      </c>
    </row>
    <row r="32" spans="1:18" x14ac:dyDescent="0.25">
      <c r="A32" s="220" t="s">
        <v>560</v>
      </c>
      <c r="B32" s="220">
        <f>VLOOKUP($A32,ITEMS_Tech_E!$B$7:$E$82,2,FALSE)</f>
        <v>1</v>
      </c>
      <c r="C32" s="395">
        <f>Analytica!H44</f>
        <v>21358.407707781298</v>
      </c>
      <c r="D32" s="395">
        <f>Analytica!I44</f>
        <v>21358.407707781298</v>
      </c>
      <c r="E32" s="395"/>
      <c r="F32" s="395">
        <f>Analytica!K44</f>
        <v>18784.2219075748</v>
      </c>
      <c r="G32" s="395">
        <f>Analytica!L44</f>
        <v>12612.1000996887</v>
      </c>
      <c r="H32" s="395">
        <f>Analytica!M44</f>
        <v>8490.9030310877897</v>
      </c>
      <c r="I32" s="395">
        <f>Analytica!N44</f>
        <v>5732.69771320774</v>
      </c>
      <c r="J32" s="233">
        <f t="shared" si="6"/>
        <v>1</v>
      </c>
      <c r="K32" s="233">
        <f t="shared" si="0"/>
        <v>0</v>
      </c>
      <c r="L32" s="233">
        <f t="shared" si="1"/>
        <v>0.87947669903928882</v>
      </c>
      <c r="M32" s="233">
        <f t="shared" si="2"/>
        <v>0.5904981435059814</v>
      </c>
      <c r="N32" s="233">
        <f t="shared" si="3"/>
        <v>0.39754382195796284</v>
      </c>
      <c r="O32" s="233">
        <f t="shared" si="4"/>
        <v>0.26840473277037419</v>
      </c>
      <c r="P32" s="233">
        <f t="shared" si="5"/>
        <v>2.1358407707781298E-2</v>
      </c>
      <c r="Q32" s="342" t="s">
        <v>855</v>
      </c>
      <c r="R32" s="643" t="s">
        <v>973</v>
      </c>
    </row>
    <row r="33" spans="1:18" x14ac:dyDescent="0.25">
      <c r="A33" s="220" t="s">
        <v>567</v>
      </c>
      <c r="B33" s="220">
        <f>VLOOKUP($A33,ITEMS_Tech_E!$B$7:$E$82,2,FALSE)</f>
        <v>1</v>
      </c>
      <c r="C33" s="395">
        <f>Analytica!H45</f>
        <v>20965.008962084201</v>
      </c>
      <c r="D33" s="395">
        <f>Analytica!I45</f>
        <v>20965.008962084201</v>
      </c>
      <c r="E33" s="395"/>
      <c r="F33" s="395">
        <f>Analytica!K45</f>
        <v>18066.774551221399</v>
      </c>
      <c r="G33" s="395">
        <f>Analytica!L45</f>
        <v>12688.0908597256</v>
      </c>
      <c r="H33" s="395">
        <f>Analytica!M45</f>
        <v>8816.2136668335497</v>
      </c>
      <c r="I33" s="395">
        <f>Analytica!N45</f>
        <v>6086.20560407013</v>
      </c>
      <c r="J33" s="233">
        <f t="shared" si="6"/>
        <v>1</v>
      </c>
      <c r="K33" s="233">
        <f t="shared" si="0"/>
        <v>0</v>
      </c>
      <c r="L33" s="233">
        <f t="shared" si="1"/>
        <v>0.86175849406483251</v>
      </c>
      <c r="M33" s="233">
        <f t="shared" si="2"/>
        <v>0.60520321659162479</v>
      </c>
      <c r="N33" s="233">
        <f t="shared" si="3"/>
        <v>0.42052038626732363</v>
      </c>
      <c r="O33" s="233">
        <f t="shared" si="4"/>
        <v>0.29030302896970861</v>
      </c>
      <c r="P33" s="233">
        <f t="shared" si="5"/>
        <v>2.0965008962084201E-2</v>
      </c>
      <c r="Q33" s="342" t="s">
        <v>855</v>
      </c>
      <c r="R33" s="643" t="s">
        <v>959</v>
      </c>
    </row>
    <row r="34" spans="1:18" x14ac:dyDescent="0.25">
      <c r="A34" s="220" t="s">
        <v>565</v>
      </c>
      <c r="B34" s="220">
        <f>VLOOKUP($A34,ITEMS_Tech_E!$B$7:$E$82,2,FALSE)</f>
        <v>1</v>
      </c>
      <c r="C34" s="395">
        <f>Analytica!H46</f>
        <v>53296.583187381897</v>
      </c>
      <c r="D34" s="395">
        <f>Analytica!I46</f>
        <v>53296.583187381897</v>
      </c>
      <c r="E34" s="395"/>
      <c r="F34" s="395">
        <f>Analytica!K46</f>
        <v>20224.127065240998</v>
      </c>
      <c r="G34" s="395">
        <f>Analytica!L46</f>
        <v>9102.8605766817</v>
      </c>
      <c r="H34" s="395">
        <f>Analytica!M46</f>
        <v>3988.6494324368</v>
      </c>
      <c r="I34" s="395">
        <f>Analytica!N46</f>
        <v>1718.2224683684799</v>
      </c>
      <c r="J34" s="233">
        <f t="shared" si="6"/>
        <v>1</v>
      </c>
      <c r="K34" s="233">
        <f t="shared" si="0"/>
        <v>0</v>
      </c>
      <c r="L34" s="233">
        <f t="shared" si="1"/>
        <v>0.37946385782623887</v>
      </c>
      <c r="M34" s="233">
        <f t="shared" si="2"/>
        <v>0.1707963256233061</v>
      </c>
      <c r="N34" s="233">
        <f t="shared" si="3"/>
        <v>7.4838745636157833E-2</v>
      </c>
      <c r="O34" s="233">
        <f t="shared" si="4"/>
        <v>3.2238885977502463E-2</v>
      </c>
      <c r="P34" s="233">
        <f t="shared" si="5"/>
        <v>5.3296583187381896E-2</v>
      </c>
      <c r="Q34" s="342" t="s">
        <v>855</v>
      </c>
      <c r="R34" s="643" t="s">
        <v>1000</v>
      </c>
    </row>
    <row r="35" spans="1:18" x14ac:dyDescent="0.25">
      <c r="A35" s="220" t="s">
        <v>571</v>
      </c>
      <c r="B35" s="220">
        <f>VLOOKUP($A35,ITEMS_Tech_E!$B$7:$E$82,2,FALSE)</f>
        <v>1</v>
      </c>
      <c r="C35" s="395">
        <f>Analytica!H47</f>
        <v>16984.001252855</v>
      </c>
      <c r="D35" s="395">
        <f>Analytica!I47</f>
        <v>16984.001252855</v>
      </c>
      <c r="E35" s="395"/>
      <c r="F35" s="395">
        <f>Analytica!K47</f>
        <v>12351.5851641552</v>
      </c>
      <c r="G35" s="395">
        <f>Analytica!L47</f>
        <v>6353.8900619384203</v>
      </c>
      <c r="H35" s="395">
        <f>Analytica!M47</f>
        <v>3228.5842202509998</v>
      </c>
      <c r="I35" s="395">
        <f>Analytica!N47</f>
        <v>1629.4894595599401</v>
      </c>
      <c r="J35" s="233">
        <f t="shared" si="6"/>
        <v>1</v>
      </c>
      <c r="K35" s="233">
        <f t="shared" si="0"/>
        <v>0</v>
      </c>
      <c r="L35" s="233">
        <f t="shared" si="1"/>
        <v>0.72724824852912129</v>
      </c>
      <c r="M35" s="233">
        <f t="shared" si="2"/>
        <v>0.3741103151926779</v>
      </c>
      <c r="N35" s="233">
        <f t="shared" si="3"/>
        <v>0.19009561835190497</v>
      </c>
      <c r="O35" s="233">
        <f t="shared" si="4"/>
        <v>9.5942613009759634E-2</v>
      </c>
      <c r="P35" s="233">
        <f t="shared" si="5"/>
        <v>1.6984001252854999E-2</v>
      </c>
      <c r="Q35" s="342" t="s">
        <v>855</v>
      </c>
      <c r="R35" s="643" t="s">
        <v>1024</v>
      </c>
    </row>
    <row r="36" spans="1:18" x14ac:dyDescent="0.25">
      <c r="A36" s="220" t="s">
        <v>572</v>
      </c>
      <c r="B36" s="220">
        <f>VLOOKUP($A36,ITEMS_Tech_E!$B$7:$E$82,2,FALSE)</f>
        <v>1</v>
      </c>
      <c r="C36" s="395">
        <f>Analytica!H48</f>
        <v>17100.2801251579</v>
      </c>
      <c r="D36" s="395">
        <f>Analytica!I48</f>
        <v>17100.2801251579</v>
      </c>
      <c r="E36" s="395"/>
      <c r="F36" s="395">
        <f>Analytica!K48</f>
        <v>12796.259204828801</v>
      </c>
      <c r="G36" s="395">
        <f>Analytica!L48</f>
        <v>10147.057094637899</v>
      </c>
      <c r="H36" s="395">
        <f>Analytica!M48</f>
        <v>6586.2943384510099</v>
      </c>
      <c r="I36" s="395">
        <f>Analytica!N48</f>
        <v>3740.6636764421</v>
      </c>
      <c r="J36" s="233">
        <f t="shared" ref="J36" si="8">D36/$C36</f>
        <v>1</v>
      </c>
      <c r="K36" s="233">
        <f t="shared" ref="K36" si="9">E36/$C36</f>
        <v>0</v>
      </c>
      <c r="L36" s="233">
        <f t="shared" ref="L36" si="10">F36/$C36</f>
        <v>0.74830699328737704</v>
      </c>
      <c r="M36" s="233">
        <f t="shared" ref="M36" si="11">G36/$C36</f>
        <v>0.5933854311374448</v>
      </c>
      <c r="N36" s="233">
        <f t="shared" ref="N36" si="12">H36/$C36</f>
        <v>0.3851571021202902</v>
      </c>
      <c r="O36" s="233">
        <f t="shared" ref="O36" si="13">I36/$C36</f>
        <v>0.21874867832947617</v>
      </c>
      <c r="P36" s="233">
        <f t="shared" si="5"/>
        <v>1.71002801251579E-2</v>
      </c>
      <c r="Q36" s="342" t="s">
        <v>855</v>
      </c>
      <c r="R36" s="643" t="s">
        <v>1098</v>
      </c>
    </row>
    <row r="37" spans="1:18" x14ac:dyDescent="0.25">
      <c r="A37" s="220" t="s">
        <v>823</v>
      </c>
      <c r="B37" s="220">
        <f>VLOOKUP($A37,ITEMS_Tech_E!$B$7:$E$82,2,FALSE)</f>
        <v>1</v>
      </c>
      <c r="C37" s="343"/>
      <c r="D37" s="343"/>
      <c r="E37" s="344"/>
      <c r="F37" s="343"/>
      <c r="G37" s="343"/>
      <c r="H37" s="343"/>
      <c r="I37" s="343"/>
      <c r="J37" s="346">
        <v>1</v>
      </c>
      <c r="K37" s="346">
        <v>1</v>
      </c>
      <c r="L37" s="346">
        <v>1</v>
      </c>
      <c r="M37" s="346">
        <v>1</v>
      </c>
      <c r="N37" s="346">
        <v>1</v>
      </c>
      <c r="O37" s="346">
        <v>1</v>
      </c>
      <c r="P37" s="346">
        <v>1</v>
      </c>
      <c r="Q37" s="342"/>
      <c r="R37" s="643" t="s">
        <v>1078</v>
      </c>
    </row>
    <row r="38" spans="1:18" x14ac:dyDescent="0.25">
      <c r="A38" s="220" t="s">
        <v>827</v>
      </c>
      <c r="B38" s="220">
        <f>VLOOKUP($A38,ITEMS_Tech_E!$B$7:$E$82,2,FALSE)</f>
        <v>1</v>
      </c>
      <c r="C38" s="343"/>
      <c r="D38" s="343"/>
      <c r="E38" s="344"/>
      <c r="F38" s="343"/>
      <c r="G38" s="343"/>
      <c r="H38" s="343"/>
      <c r="I38" s="343"/>
      <c r="J38" s="346">
        <v>1</v>
      </c>
      <c r="K38" s="346">
        <v>1</v>
      </c>
      <c r="L38" s="346">
        <v>1</v>
      </c>
      <c r="M38" s="346">
        <v>1</v>
      </c>
      <c r="N38" s="346">
        <v>1</v>
      </c>
      <c r="O38" s="346">
        <v>1</v>
      </c>
      <c r="P38" s="346">
        <v>1</v>
      </c>
      <c r="Q38" s="342"/>
      <c r="R38" s="643" t="s">
        <v>1099</v>
      </c>
    </row>
    <row r="39" spans="1:18" x14ac:dyDescent="0.25">
      <c r="A39" s="220" t="s">
        <v>829</v>
      </c>
      <c r="B39" s="220">
        <f>VLOOKUP($A39,ITEMS_Tech_E!$B$7:$E$82,2,FALSE)</f>
        <v>1</v>
      </c>
      <c r="C39" s="343"/>
      <c r="D39" s="343"/>
      <c r="E39" s="344"/>
      <c r="F39" s="343"/>
      <c r="G39" s="343"/>
      <c r="H39" s="343"/>
      <c r="I39" s="343"/>
      <c r="J39" s="346">
        <v>1</v>
      </c>
      <c r="K39" s="346">
        <v>1</v>
      </c>
      <c r="L39" s="346">
        <v>1</v>
      </c>
      <c r="M39" s="346">
        <v>1</v>
      </c>
      <c r="N39" s="346">
        <v>1</v>
      </c>
      <c r="O39" s="346">
        <v>1</v>
      </c>
      <c r="P39" s="346">
        <v>1</v>
      </c>
      <c r="Q39" s="342"/>
      <c r="R39" s="643" t="s">
        <v>1080</v>
      </c>
    </row>
    <row r="40" spans="1:18" x14ac:dyDescent="0.25">
      <c r="A40" s="220" t="s">
        <v>831</v>
      </c>
      <c r="B40" s="220">
        <f>VLOOKUP($A40,ITEMS_Tech_E!$B$7:$E$82,2,FALSE)</f>
        <v>1</v>
      </c>
      <c r="C40" s="343"/>
      <c r="D40" s="343"/>
      <c r="E40" s="344"/>
      <c r="F40" s="343"/>
      <c r="G40" s="343"/>
      <c r="H40" s="343"/>
      <c r="I40" s="343"/>
      <c r="J40" s="346">
        <v>1</v>
      </c>
      <c r="K40" s="346">
        <v>1</v>
      </c>
      <c r="L40" s="346">
        <v>1</v>
      </c>
      <c r="M40" s="346">
        <v>1</v>
      </c>
      <c r="N40" s="346">
        <v>1</v>
      </c>
      <c r="O40" s="346">
        <v>1</v>
      </c>
      <c r="P40" s="346">
        <v>1</v>
      </c>
      <c r="Q40" s="342"/>
      <c r="R40" s="643" t="s">
        <v>1100</v>
      </c>
    </row>
    <row r="41" spans="1:18" x14ac:dyDescent="0.25">
      <c r="A41" s="220" t="s">
        <v>833</v>
      </c>
      <c r="B41" s="220">
        <f>VLOOKUP($A41,ITEMS_Tech_E!$B$7:$E$82,2,FALSE)</f>
        <v>1</v>
      </c>
      <c r="C41" s="343"/>
      <c r="D41" s="343"/>
      <c r="E41" s="344"/>
      <c r="F41" s="343"/>
      <c r="G41" s="343"/>
      <c r="H41" s="343"/>
      <c r="I41" s="343"/>
      <c r="J41" s="346">
        <v>1</v>
      </c>
      <c r="K41" s="346">
        <v>1</v>
      </c>
      <c r="L41" s="346">
        <v>1</v>
      </c>
      <c r="M41" s="346">
        <v>1</v>
      </c>
      <c r="N41" s="346">
        <v>1</v>
      </c>
      <c r="O41" s="346">
        <v>1</v>
      </c>
      <c r="P41" s="346">
        <v>1</v>
      </c>
      <c r="Q41" s="342"/>
      <c r="R41" s="643" t="s">
        <v>1082</v>
      </c>
    </row>
    <row r="42" spans="1:18" x14ac:dyDescent="0.25">
      <c r="A42" s="220" t="s">
        <v>835</v>
      </c>
      <c r="B42" s="220">
        <f>VLOOKUP($A42,ITEMS_Tech_E!$B$7:$E$82,2,FALSE)</f>
        <v>1</v>
      </c>
      <c r="C42" s="343"/>
      <c r="D42" s="343"/>
      <c r="E42" s="344"/>
      <c r="F42" s="343"/>
      <c r="G42" s="343"/>
      <c r="H42" s="343"/>
      <c r="I42" s="343"/>
      <c r="J42" s="346">
        <v>1</v>
      </c>
      <c r="K42" s="346">
        <v>1</v>
      </c>
      <c r="L42" s="346">
        <v>1</v>
      </c>
      <c r="M42" s="346">
        <v>1</v>
      </c>
      <c r="N42" s="346">
        <v>1</v>
      </c>
      <c r="O42" s="346">
        <v>1</v>
      </c>
      <c r="P42" s="346">
        <v>1</v>
      </c>
      <c r="Q42" s="342"/>
      <c r="R42" s="643" t="s">
        <v>1084</v>
      </c>
    </row>
    <row r="43" spans="1:18" x14ac:dyDescent="0.25">
      <c r="A43" s="220" t="s">
        <v>837</v>
      </c>
      <c r="B43" s="220">
        <f>VLOOKUP($A43,ITEMS_Tech_E!$B$7:$E$82,2,FALSE)</f>
        <v>1</v>
      </c>
      <c r="C43" s="343"/>
      <c r="D43" s="343"/>
      <c r="E43" s="344"/>
      <c r="F43" s="343"/>
      <c r="G43" s="343"/>
      <c r="H43" s="343"/>
      <c r="I43" s="343"/>
      <c r="J43" s="346">
        <v>1</v>
      </c>
      <c r="K43" s="346">
        <v>1</v>
      </c>
      <c r="L43" s="346">
        <v>1</v>
      </c>
      <c r="M43" s="346">
        <v>1</v>
      </c>
      <c r="N43" s="346">
        <v>1</v>
      </c>
      <c r="O43" s="346">
        <v>1</v>
      </c>
      <c r="P43" s="346">
        <v>1</v>
      </c>
      <c r="Q43" s="342"/>
      <c r="R43" s="643" t="s">
        <v>1086</v>
      </c>
    </row>
    <row r="44" spans="1:18" x14ac:dyDescent="0.25">
      <c r="A44" s="220" t="s">
        <v>840</v>
      </c>
      <c r="B44" s="220">
        <f>VLOOKUP($A44,ITEMS_Tech_E!$B$7:$E$82,2,FALSE)</f>
        <v>1</v>
      </c>
      <c r="C44" s="343"/>
      <c r="D44" s="343"/>
      <c r="E44" s="344"/>
      <c r="F44" s="343"/>
      <c r="G44" s="343"/>
      <c r="H44" s="343"/>
      <c r="I44" s="343"/>
      <c r="J44" s="346">
        <v>1</v>
      </c>
      <c r="K44" s="346">
        <v>1</v>
      </c>
      <c r="L44" s="346">
        <v>1</v>
      </c>
      <c r="M44" s="346">
        <v>1</v>
      </c>
      <c r="N44" s="346">
        <v>1</v>
      </c>
      <c r="O44" s="346">
        <v>1</v>
      </c>
      <c r="P44" s="346">
        <v>1</v>
      </c>
      <c r="Q44" s="342"/>
      <c r="R44" s="643" t="s">
        <v>1088</v>
      </c>
    </row>
    <row r="45" spans="1:18" x14ac:dyDescent="0.25">
      <c r="A45" s="220" t="s">
        <v>842</v>
      </c>
      <c r="B45" s="220">
        <f>VLOOKUP($A45,ITEMS_Tech_E!$B$7:$E$82,2,FALSE)</f>
        <v>1</v>
      </c>
      <c r="C45" s="343"/>
      <c r="D45" s="343"/>
      <c r="E45" s="344"/>
      <c r="F45" s="343"/>
      <c r="G45" s="343"/>
      <c r="H45" s="343"/>
      <c r="I45" s="343"/>
      <c r="J45" s="346">
        <v>1</v>
      </c>
      <c r="K45" s="346">
        <v>1</v>
      </c>
      <c r="L45" s="346">
        <v>1</v>
      </c>
      <c r="M45" s="346">
        <v>1</v>
      </c>
      <c r="N45" s="346">
        <v>1</v>
      </c>
      <c r="O45" s="346">
        <v>1</v>
      </c>
      <c r="P45" s="346">
        <v>1</v>
      </c>
      <c r="Q45" s="342"/>
      <c r="R45" s="643" t="s">
        <v>1090</v>
      </c>
    </row>
    <row r="46" spans="1:18" x14ac:dyDescent="0.25">
      <c r="A46" s="220" t="s">
        <v>844</v>
      </c>
      <c r="B46" s="220">
        <f>VLOOKUP($A46,ITEMS_Tech_E!$B$7:$E$82,2,FALSE)</f>
        <v>1</v>
      </c>
      <c r="C46" s="343"/>
      <c r="D46" s="343"/>
      <c r="E46" s="344"/>
      <c r="F46" s="343"/>
      <c r="G46" s="343"/>
      <c r="H46" s="343"/>
      <c r="I46" s="343"/>
      <c r="J46" s="346">
        <v>1</v>
      </c>
      <c r="K46" s="346">
        <v>1</v>
      </c>
      <c r="L46" s="346">
        <v>1</v>
      </c>
      <c r="M46" s="346">
        <v>1</v>
      </c>
      <c r="N46" s="346">
        <v>1</v>
      </c>
      <c r="O46" s="346">
        <v>1</v>
      </c>
      <c r="P46" s="346">
        <v>1</v>
      </c>
      <c r="Q46" s="342"/>
      <c r="R46" s="643" t="s">
        <v>1092</v>
      </c>
    </row>
    <row r="47" spans="1:18" x14ac:dyDescent="0.25">
      <c r="A47" s="220" t="s">
        <v>846</v>
      </c>
      <c r="B47" s="220">
        <f>VLOOKUP($A47,ITEMS_Tech_E!$B$7:$E$82,2,FALSE)</f>
        <v>1</v>
      </c>
      <c r="C47" s="343"/>
      <c r="D47" s="343"/>
      <c r="E47" s="344"/>
      <c r="F47" s="343"/>
      <c r="G47" s="343"/>
      <c r="H47" s="343"/>
      <c r="I47" s="343"/>
      <c r="J47" s="346">
        <v>1</v>
      </c>
      <c r="K47" s="346">
        <v>1</v>
      </c>
      <c r="L47" s="346">
        <v>1</v>
      </c>
      <c r="M47" s="346">
        <v>1</v>
      </c>
      <c r="N47" s="346">
        <v>1</v>
      </c>
      <c r="O47" s="346">
        <v>1</v>
      </c>
      <c r="P47" s="346">
        <v>1</v>
      </c>
      <c r="Q47" s="342"/>
      <c r="R47" s="643"/>
    </row>
    <row r="48" spans="1:18" x14ac:dyDescent="0.25">
      <c r="A48" s="220"/>
      <c r="B48" s="220"/>
      <c r="C48" s="343"/>
      <c r="D48" s="343"/>
      <c r="E48" s="344"/>
      <c r="F48" s="343"/>
      <c r="G48" s="343"/>
      <c r="H48" s="343"/>
      <c r="I48" s="343"/>
      <c r="J48" s="233"/>
      <c r="K48" s="233"/>
      <c r="L48" s="233"/>
      <c r="M48" s="233"/>
      <c r="N48" s="233"/>
      <c r="O48" s="233"/>
      <c r="P48" s="233"/>
      <c r="Q48" s="233"/>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016A5E-1962-42C3-AC28-9E5FC2DA2BB1}">
  <sheetPr>
    <tabColor theme="6" tint="0.59999389629810485"/>
  </sheetPr>
  <dimension ref="A1:T48"/>
  <sheetViews>
    <sheetView workbookViewId="0"/>
  </sheetViews>
  <sheetFormatPr defaultRowHeight="15" x14ac:dyDescent="0.25"/>
  <cols>
    <col min="1" max="1" width="15.42578125" bestFit="1" customWidth="1"/>
    <col min="2" max="2" width="51.5703125" bestFit="1" customWidth="1"/>
    <col min="3" max="3" width="15.5703125" customWidth="1"/>
    <col min="4" max="4" width="18.5703125" customWidth="1"/>
    <col min="5" max="11" width="9.85546875" bestFit="1" customWidth="1"/>
    <col min="12" max="12" width="9.140625" bestFit="1" customWidth="1"/>
    <col min="13" max="20" width="9.5703125" customWidth="1"/>
  </cols>
  <sheetData>
    <row r="1" spans="1:20" ht="18" thickBot="1" x14ac:dyDescent="0.35">
      <c r="A1" s="1" t="s">
        <v>1105</v>
      </c>
    </row>
    <row r="2" spans="1:20" ht="15.75" thickTop="1" x14ac:dyDescent="0.25">
      <c r="M2" s="347">
        <v>1</v>
      </c>
      <c r="N2" s="347">
        <v>1</v>
      </c>
      <c r="O2" s="347">
        <v>1</v>
      </c>
      <c r="P2" s="347">
        <v>1</v>
      </c>
      <c r="Q2" s="347">
        <v>1</v>
      </c>
      <c r="R2" s="347">
        <v>1</v>
      </c>
      <c r="S2" s="347">
        <v>0</v>
      </c>
      <c r="T2" s="347">
        <v>0</v>
      </c>
    </row>
    <row r="3" spans="1:20" ht="15.75" thickBot="1" x14ac:dyDescent="0.3">
      <c r="A3" s="2" t="s">
        <v>1</v>
      </c>
      <c r="B3" s="2" t="s">
        <v>548</v>
      </c>
      <c r="C3" s="2" t="s">
        <v>204</v>
      </c>
      <c r="D3" s="2" t="s">
        <v>206</v>
      </c>
      <c r="E3" s="2">
        <v>2006</v>
      </c>
      <c r="F3" s="2">
        <v>2010</v>
      </c>
      <c r="G3" s="2">
        <v>2012</v>
      </c>
      <c r="H3" s="2">
        <v>2017</v>
      </c>
      <c r="I3" s="2">
        <v>2020</v>
      </c>
      <c r="J3" s="2">
        <v>2030</v>
      </c>
      <c r="K3" s="2">
        <v>2040</v>
      </c>
      <c r="L3" s="2">
        <v>2050</v>
      </c>
      <c r="M3" s="2">
        <v>2006</v>
      </c>
      <c r="N3" s="2">
        <v>2010</v>
      </c>
      <c r="O3" s="2">
        <v>2012</v>
      </c>
      <c r="P3" s="2">
        <v>2017</v>
      </c>
      <c r="Q3" s="2">
        <v>2020</v>
      </c>
      <c r="R3" s="2">
        <v>2030</v>
      </c>
      <c r="S3" s="2">
        <v>2040</v>
      </c>
      <c r="T3" s="2">
        <v>2050</v>
      </c>
    </row>
    <row r="4" spans="1:20" x14ac:dyDescent="0.25">
      <c r="A4" s="220"/>
      <c r="B4" s="220"/>
      <c r="C4" s="220" t="s">
        <v>857</v>
      </c>
      <c r="D4" s="220" t="s">
        <v>858</v>
      </c>
      <c r="E4" s="396" t="s">
        <v>551</v>
      </c>
      <c r="F4" s="396"/>
      <c r="G4" s="396" t="s">
        <v>553</v>
      </c>
      <c r="H4" s="396"/>
      <c r="I4" s="396"/>
      <c r="J4" s="396"/>
      <c r="K4" s="396"/>
      <c r="L4" s="396"/>
      <c r="M4" s="234" t="s">
        <v>552</v>
      </c>
      <c r="N4" s="234"/>
      <c r="O4" s="234" t="s">
        <v>553</v>
      </c>
      <c r="P4" s="234"/>
      <c r="Q4" s="234"/>
      <c r="R4" s="234"/>
      <c r="S4" s="234"/>
      <c r="T4" s="234"/>
    </row>
    <row r="5" spans="1:20" x14ac:dyDescent="0.25">
      <c r="A5" s="220" t="s">
        <v>468</v>
      </c>
      <c r="B5" s="228">
        <f>VLOOKUP($A5,ITEMS_Tech_E!$B$7:$E$82,2,FALSE)</f>
        <v>1</v>
      </c>
      <c r="C5" s="228"/>
      <c r="D5" s="228"/>
      <c r="E5" s="397">
        <f>Analytica!AF17</f>
        <v>21.5647607151075</v>
      </c>
      <c r="F5" s="397">
        <f>Analytica!AG17</f>
        <v>26.527095234144401</v>
      </c>
      <c r="G5" s="397">
        <f>Analytica!AH17</f>
        <v>28.126256176370301</v>
      </c>
      <c r="H5" s="397">
        <f>Analytica!AI17</f>
        <v>25.1952522652347</v>
      </c>
      <c r="I5" s="397">
        <f>Analytica!AJ17</f>
        <v>23.083651962362801</v>
      </c>
      <c r="J5" s="397">
        <f>Analytica!AK17</f>
        <v>15.5161252325553</v>
      </c>
      <c r="K5" s="397">
        <f>Analytica!AL17</f>
        <v>0</v>
      </c>
      <c r="L5" s="397">
        <f>Analytica!AM17</f>
        <v>0</v>
      </c>
      <c r="M5" s="236">
        <f>E5*M$2</f>
        <v>21.5647607151075</v>
      </c>
      <c r="N5" s="236">
        <f t="shared" ref="N5:N35" si="0">F5*N$2</f>
        <v>26.527095234144401</v>
      </c>
      <c r="O5" s="236">
        <f t="shared" ref="O5:O35" si="1">G5*O$2</f>
        <v>28.126256176370301</v>
      </c>
      <c r="P5" s="236">
        <f t="shared" ref="P5:P35" si="2">H5*P$2</f>
        <v>25.1952522652347</v>
      </c>
      <c r="Q5" s="236">
        <f t="shared" ref="Q5:Q35" si="3">I5*Q$2</f>
        <v>23.083651962362801</v>
      </c>
      <c r="R5" s="236">
        <f t="shared" ref="R5:R35" si="4">J5*R$2</f>
        <v>15.5161252325553</v>
      </c>
      <c r="S5" s="236">
        <f t="shared" ref="S5:S35" si="5">K5*S$2</f>
        <v>0</v>
      </c>
      <c r="T5" s="236">
        <f t="shared" ref="T5:T35" si="6">L5*T$2</f>
        <v>0</v>
      </c>
    </row>
    <row r="6" spans="1:20" x14ac:dyDescent="0.25">
      <c r="A6" s="220" t="s">
        <v>469</v>
      </c>
      <c r="B6" s="220">
        <f>VLOOKUP($A6,ITEMS_Tech_E!$B$7:$E$82,2,FALSE)</f>
        <v>1</v>
      </c>
      <c r="C6" s="220"/>
      <c r="D6" s="220"/>
      <c r="E6" s="397">
        <f>Analytica!AF18</f>
        <v>147.69326759927199</v>
      </c>
      <c r="F6" s="397">
        <f>Analytica!AG18</f>
        <v>228.12543892094001</v>
      </c>
      <c r="G6" s="397">
        <f>Analytica!AH18</f>
        <v>283.266255294215</v>
      </c>
      <c r="H6" s="397">
        <f>Analytica!AI18</f>
        <v>387.58646835565298</v>
      </c>
      <c r="I6" s="397">
        <f>Analytica!AJ18</f>
        <v>369.96010154816298</v>
      </c>
      <c r="J6" s="397">
        <f>Analytica!AK18</f>
        <v>243.13201263550999</v>
      </c>
      <c r="K6" s="397">
        <f>Analytica!AL18</f>
        <v>0</v>
      </c>
      <c r="L6" s="397">
        <f>Analytica!AM18</f>
        <v>0</v>
      </c>
      <c r="M6" s="236">
        <f t="shared" ref="M6:M35" si="7">E6*M$2</f>
        <v>147.69326759927199</v>
      </c>
      <c r="N6" s="236">
        <f t="shared" si="0"/>
        <v>228.12543892094001</v>
      </c>
      <c r="O6" s="236">
        <f t="shared" si="1"/>
        <v>283.266255294215</v>
      </c>
      <c r="P6" s="236">
        <f t="shared" si="2"/>
        <v>387.58646835565298</v>
      </c>
      <c r="Q6" s="236">
        <f t="shared" si="3"/>
        <v>369.96010154816298</v>
      </c>
      <c r="R6" s="236">
        <f t="shared" si="4"/>
        <v>243.13201263550999</v>
      </c>
      <c r="S6" s="236">
        <f t="shared" si="5"/>
        <v>0</v>
      </c>
      <c r="T6" s="236">
        <f t="shared" si="6"/>
        <v>0</v>
      </c>
    </row>
    <row r="7" spans="1:20" x14ac:dyDescent="0.25">
      <c r="A7" s="220" t="s">
        <v>470</v>
      </c>
      <c r="B7" s="220">
        <f>VLOOKUP($A7,ITEMS_Tech_E!$B$7:$E$82,2,FALSE)</f>
        <v>1</v>
      </c>
      <c r="C7" s="220"/>
      <c r="D7" s="220"/>
      <c r="E7" s="397">
        <f>Analytica!AF19</f>
        <v>0.37938792131855897</v>
      </c>
      <c r="F7" s="397">
        <f>Analytica!AG19</f>
        <v>5147.4548255316504</v>
      </c>
      <c r="G7" s="397">
        <f>Analytica!AH19</f>
        <v>5479.0960107301498</v>
      </c>
      <c r="H7" s="397">
        <f>Analytica!AI19</f>
        <v>5902.05729724512</v>
      </c>
      <c r="I7" s="397">
        <f>Analytica!AJ19</f>
        <v>5259.5090745597199</v>
      </c>
      <c r="J7" s="397">
        <f>Analytica!AK19</f>
        <v>2963.6268741726399</v>
      </c>
      <c r="K7" s="397">
        <f>Analytica!AL19</f>
        <v>0</v>
      </c>
      <c r="L7" s="397">
        <f>Analytica!AM19</f>
        <v>0</v>
      </c>
      <c r="M7" s="236">
        <f t="shared" si="7"/>
        <v>0.37938792131855897</v>
      </c>
      <c r="N7" s="236">
        <f t="shared" si="0"/>
        <v>5147.4548255316504</v>
      </c>
      <c r="O7" s="236">
        <f t="shared" si="1"/>
        <v>5479.0960107301498</v>
      </c>
      <c r="P7" s="236">
        <f t="shared" si="2"/>
        <v>5902.05729724512</v>
      </c>
      <c r="Q7" s="236">
        <f t="shared" si="3"/>
        <v>5259.5090745597199</v>
      </c>
      <c r="R7" s="236">
        <f t="shared" si="4"/>
        <v>2963.6268741726399</v>
      </c>
      <c r="S7" s="236">
        <f t="shared" si="5"/>
        <v>0</v>
      </c>
      <c r="T7" s="236">
        <f t="shared" si="6"/>
        <v>0</v>
      </c>
    </row>
    <row r="8" spans="1:20" x14ac:dyDescent="0.25">
      <c r="A8" s="220" t="s">
        <v>471</v>
      </c>
      <c r="B8" s="220">
        <f>VLOOKUP($A8,ITEMS_Tech_E!$B$7:$E$82,2,FALSE)</f>
        <v>0</v>
      </c>
      <c r="C8" s="220"/>
      <c r="D8" s="220"/>
      <c r="E8" s="397">
        <f>Analytica!AF20</f>
        <v>0</v>
      </c>
      <c r="F8" s="397">
        <f>Analytica!AG20</f>
        <v>0</v>
      </c>
      <c r="G8" s="397">
        <f>Analytica!AH20</f>
        <v>0</v>
      </c>
      <c r="H8" s="397">
        <f>Analytica!AI20</f>
        <v>0</v>
      </c>
      <c r="I8" s="397">
        <f>Analytica!AJ20</f>
        <v>0</v>
      </c>
      <c r="J8" s="397">
        <f>Analytica!AK20</f>
        <v>0</v>
      </c>
      <c r="K8" s="397">
        <f>Analytica!AL20</f>
        <v>0</v>
      </c>
      <c r="L8" s="397">
        <f>Analytica!AM20</f>
        <v>0</v>
      </c>
      <c r="M8" s="236">
        <f t="shared" si="7"/>
        <v>0</v>
      </c>
      <c r="N8" s="236">
        <f t="shared" si="0"/>
        <v>0</v>
      </c>
      <c r="O8" s="236">
        <f t="shared" si="1"/>
        <v>0</v>
      </c>
      <c r="P8" s="236">
        <f t="shared" si="2"/>
        <v>0</v>
      </c>
      <c r="Q8" s="236">
        <f t="shared" si="3"/>
        <v>0</v>
      </c>
      <c r="R8" s="236">
        <f t="shared" si="4"/>
        <v>0</v>
      </c>
      <c r="S8" s="236">
        <f t="shared" si="5"/>
        <v>0</v>
      </c>
      <c r="T8" s="236">
        <f t="shared" si="6"/>
        <v>0</v>
      </c>
    </row>
    <row r="9" spans="1:20" x14ac:dyDescent="0.25">
      <c r="A9" s="220" t="s">
        <v>472</v>
      </c>
      <c r="B9" s="220">
        <f>VLOOKUP($A9,ITEMS_Tech_E!$B$7:$E$82,2,FALSE)</f>
        <v>1</v>
      </c>
      <c r="C9" s="220"/>
      <c r="D9" s="220"/>
      <c r="E9" s="397">
        <f>Analytica!AF21</f>
        <v>0.30999004554632797</v>
      </c>
      <c r="F9" s="397">
        <f>Analytica!AG21</f>
        <v>1.11288673921603</v>
      </c>
      <c r="G9" s="397">
        <f>Analytica!AH21</f>
        <v>2.3087301118619199</v>
      </c>
      <c r="H9" s="397">
        <f>Analytica!AI21</f>
        <v>4.1935845862025003</v>
      </c>
      <c r="I9" s="397">
        <f>Analytica!AJ21</f>
        <v>4.11763972020184</v>
      </c>
      <c r="J9" s="397">
        <f>Analytica!AK21</f>
        <v>3.1386913845266902</v>
      </c>
      <c r="K9" s="397">
        <f>Analytica!AL21</f>
        <v>0</v>
      </c>
      <c r="L9" s="397">
        <f>Analytica!AM21</f>
        <v>0</v>
      </c>
      <c r="M9" s="236">
        <f t="shared" si="7"/>
        <v>0.30999004554632797</v>
      </c>
      <c r="N9" s="236">
        <f t="shared" si="0"/>
        <v>1.11288673921603</v>
      </c>
      <c r="O9" s="236">
        <f t="shared" si="1"/>
        <v>2.3087301118619199</v>
      </c>
      <c r="P9" s="236">
        <f t="shared" si="2"/>
        <v>4.1935845862025003</v>
      </c>
      <c r="Q9" s="236">
        <f t="shared" si="3"/>
        <v>4.11763972020184</v>
      </c>
      <c r="R9" s="236">
        <f t="shared" si="4"/>
        <v>3.1386913845266902</v>
      </c>
      <c r="S9" s="236">
        <f t="shared" si="5"/>
        <v>0</v>
      </c>
      <c r="T9" s="236">
        <f t="shared" si="6"/>
        <v>0</v>
      </c>
    </row>
    <row r="10" spans="1:20" x14ac:dyDescent="0.25">
      <c r="A10" s="220" t="s">
        <v>473</v>
      </c>
      <c r="B10" s="220">
        <f>VLOOKUP($A10,ITEMS_Tech_E!$B$7:$E$82,2,FALSE)</f>
        <v>1</v>
      </c>
      <c r="C10" s="220"/>
      <c r="D10" s="220"/>
      <c r="E10" s="397">
        <f>Analytica!AF22</f>
        <v>0</v>
      </c>
      <c r="F10" s="397">
        <f>Analytica!AG22</f>
        <v>0</v>
      </c>
      <c r="G10" s="397">
        <f>Analytica!AH22</f>
        <v>0</v>
      </c>
      <c r="H10" s="397">
        <f>Analytica!AI22</f>
        <v>0.33192828574538003</v>
      </c>
      <c r="I10" s="397">
        <f>Analytica!AJ22</f>
        <v>0.33103303930312999</v>
      </c>
      <c r="J10" s="397">
        <f>Analytica!AK22</f>
        <v>0.29041173582530899</v>
      </c>
      <c r="K10" s="397">
        <f>Analytica!AL22</f>
        <v>0</v>
      </c>
      <c r="L10" s="397">
        <f>Analytica!AM22</f>
        <v>0</v>
      </c>
      <c r="M10" s="236">
        <f t="shared" si="7"/>
        <v>0</v>
      </c>
      <c r="N10" s="236">
        <f t="shared" si="0"/>
        <v>0</v>
      </c>
      <c r="O10" s="236">
        <f t="shared" si="1"/>
        <v>0</v>
      </c>
      <c r="P10" s="236">
        <f t="shared" si="2"/>
        <v>0.33192828574538003</v>
      </c>
      <c r="Q10" s="236">
        <f t="shared" si="3"/>
        <v>0.33103303930312999</v>
      </c>
      <c r="R10" s="236">
        <f t="shared" si="4"/>
        <v>0.29041173582530899</v>
      </c>
      <c r="S10" s="236">
        <f t="shared" si="5"/>
        <v>0</v>
      </c>
      <c r="T10" s="236">
        <f t="shared" si="6"/>
        <v>0</v>
      </c>
    </row>
    <row r="11" spans="1:20" x14ac:dyDescent="0.25">
      <c r="A11" s="220" t="s">
        <v>474</v>
      </c>
      <c r="B11" s="220">
        <f>VLOOKUP($A11,ITEMS_Tech_E!$B$7:$E$82,2,FALSE)</f>
        <v>1</v>
      </c>
      <c r="C11" s="220"/>
      <c r="D11" s="220"/>
      <c r="E11" s="397">
        <f>Analytica!AF23</f>
        <v>89.798500891253894</v>
      </c>
      <c r="F11" s="397">
        <f>Analytica!AG23</f>
        <v>111.125617282167</v>
      </c>
      <c r="G11" s="397">
        <f>Analytica!AH23</f>
        <v>116.591505230221</v>
      </c>
      <c r="H11" s="397">
        <f>Analytica!AI23</f>
        <v>126.227705550552</v>
      </c>
      <c r="I11" s="397">
        <f>Analytica!AJ23</f>
        <v>128.85669585561601</v>
      </c>
      <c r="J11" s="397">
        <f>Analytica!AK23</f>
        <v>65.904742901988897</v>
      </c>
      <c r="K11" s="397">
        <f>Analytica!AL23</f>
        <v>0</v>
      </c>
      <c r="L11" s="397">
        <f>Analytica!AM23</f>
        <v>0</v>
      </c>
      <c r="M11" s="236">
        <f t="shared" si="7"/>
        <v>89.798500891253894</v>
      </c>
      <c r="N11" s="236">
        <f t="shared" si="0"/>
        <v>111.125617282167</v>
      </c>
      <c r="O11" s="236">
        <f t="shared" si="1"/>
        <v>116.591505230221</v>
      </c>
      <c r="P11" s="236">
        <f t="shared" si="2"/>
        <v>126.227705550552</v>
      </c>
      <c r="Q11" s="236">
        <f t="shared" si="3"/>
        <v>128.85669585561601</v>
      </c>
      <c r="R11" s="236">
        <f t="shared" si="4"/>
        <v>65.904742901988897</v>
      </c>
      <c r="S11" s="236">
        <f t="shared" si="5"/>
        <v>0</v>
      </c>
      <c r="T11" s="236">
        <f t="shared" si="6"/>
        <v>0</v>
      </c>
    </row>
    <row r="12" spans="1:20" x14ac:dyDescent="0.25">
      <c r="A12" s="220" t="s">
        <v>475</v>
      </c>
      <c r="B12" s="220">
        <f>VLOOKUP($A12,ITEMS_Tech_E!$B$7:$E$82,2,FALSE)</f>
        <v>1</v>
      </c>
      <c r="C12" s="220"/>
      <c r="D12" s="220"/>
      <c r="E12" s="397">
        <f>Analytica!AF24</f>
        <v>6.3192945107162597</v>
      </c>
      <c r="F12" s="397">
        <f>Analytica!AG24</f>
        <v>4.5665100945894901</v>
      </c>
      <c r="G12" s="397">
        <f>Analytica!AH24</f>
        <v>4.0661003460126599</v>
      </c>
      <c r="H12" s="397">
        <f>Analytica!AI24</f>
        <v>2.3335554859995198</v>
      </c>
      <c r="I12" s="397">
        <f>Analytica!AJ24</f>
        <v>1.87929418014928</v>
      </c>
      <c r="J12" s="397">
        <f>Analytica!AK24</f>
        <v>0.35865569412206</v>
      </c>
      <c r="K12" s="397">
        <f>Analytica!AL24</f>
        <v>0</v>
      </c>
      <c r="L12" s="397">
        <f>Analytica!AM24</f>
        <v>0</v>
      </c>
      <c r="M12" s="236">
        <f t="shared" si="7"/>
        <v>6.3192945107162597</v>
      </c>
      <c r="N12" s="236">
        <f t="shared" si="0"/>
        <v>4.5665100945894901</v>
      </c>
      <c r="O12" s="236">
        <f t="shared" si="1"/>
        <v>4.0661003460126599</v>
      </c>
      <c r="P12" s="236">
        <f t="shared" si="2"/>
        <v>2.3335554859995198</v>
      </c>
      <c r="Q12" s="236">
        <f t="shared" si="3"/>
        <v>1.87929418014928</v>
      </c>
      <c r="R12" s="236">
        <f t="shared" si="4"/>
        <v>0.35865569412206</v>
      </c>
      <c r="S12" s="236">
        <f t="shared" si="5"/>
        <v>0</v>
      </c>
      <c r="T12" s="236">
        <f t="shared" si="6"/>
        <v>0</v>
      </c>
    </row>
    <row r="13" spans="1:20" x14ac:dyDescent="0.25">
      <c r="A13" s="220" t="s">
        <v>476</v>
      </c>
      <c r="B13" s="220">
        <f>VLOOKUP($A13,ITEMS_Tech_E!$B$7:$E$82,2,FALSE)</f>
        <v>1</v>
      </c>
      <c r="C13" s="220"/>
      <c r="D13" s="220"/>
      <c r="E13" s="397">
        <f>Analytica!AF25</f>
        <v>23.060160967095001</v>
      </c>
      <c r="F13" s="397">
        <f>Analytica!AG25</f>
        <v>27.614813403739699</v>
      </c>
      <c r="G13" s="397">
        <f>Analytica!AH25</f>
        <v>30.2417068509633</v>
      </c>
      <c r="H13" s="397">
        <f>Analytica!AI25</f>
        <v>33.929342714939402</v>
      </c>
      <c r="I13" s="397">
        <f>Analytica!AJ25</f>
        <v>34.442063385055299</v>
      </c>
      <c r="J13" s="397">
        <f>Analytica!AK25</f>
        <v>18.009652806729299</v>
      </c>
      <c r="K13" s="397">
        <f>Analytica!AL25</f>
        <v>0</v>
      </c>
      <c r="L13" s="397">
        <f>Analytica!AM25</f>
        <v>0</v>
      </c>
      <c r="M13" s="236">
        <f t="shared" si="7"/>
        <v>23.060160967095001</v>
      </c>
      <c r="N13" s="236">
        <f t="shared" si="0"/>
        <v>27.614813403739699</v>
      </c>
      <c r="O13" s="236">
        <f t="shared" si="1"/>
        <v>30.2417068509633</v>
      </c>
      <c r="P13" s="236">
        <f t="shared" si="2"/>
        <v>33.929342714939402</v>
      </c>
      <c r="Q13" s="236">
        <f t="shared" si="3"/>
        <v>34.442063385055299</v>
      </c>
      <c r="R13" s="236">
        <f t="shared" si="4"/>
        <v>18.009652806729299</v>
      </c>
      <c r="S13" s="236">
        <f t="shared" si="5"/>
        <v>0</v>
      </c>
      <c r="T13" s="236">
        <f t="shared" si="6"/>
        <v>0</v>
      </c>
    </row>
    <row r="14" spans="1:20" x14ac:dyDescent="0.25">
      <c r="A14" s="220" t="s">
        <v>477</v>
      </c>
      <c r="B14" s="220">
        <f>VLOOKUP($A14,ITEMS_Tech_E!$B$7:$E$82,2,FALSE)</f>
        <v>1</v>
      </c>
      <c r="C14" s="220"/>
      <c r="D14" s="220"/>
      <c r="E14" s="397">
        <f>Analytica!AF26</f>
        <v>39.206942001051502</v>
      </c>
      <c r="F14" s="397">
        <f>Analytica!AG26</f>
        <v>49.889561280829902</v>
      </c>
      <c r="G14" s="397">
        <f>Analytica!AH26</f>
        <v>55.810791547743598</v>
      </c>
      <c r="H14" s="397">
        <f>Analytica!AI26</f>
        <v>62.7019053147121</v>
      </c>
      <c r="I14" s="397">
        <f>Analytica!AJ26</f>
        <v>63.616850519339202</v>
      </c>
      <c r="J14" s="397">
        <f>Analytica!AK26</f>
        <v>33.590395028435502</v>
      </c>
      <c r="K14" s="397">
        <f>Analytica!AL26</f>
        <v>0</v>
      </c>
      <c r="L14" s="397">
        <f>Analytica!AM26</f>
        <v>0</v>
      </c>
      <c r="M14" s="236">
        <f t="shared" si="7"/>
        <v>39.206942001051502</v>
      </c>
      <c r="N14" s="236">
        <f t="shared" si="0"/>
        <v>49.889561280829902</v>
      </c>
      <c r="O14" s="236">
        <f t="shared" si="1"/>
        <v>55.810791547743598</v>
      </c>
      <c r="P14" s="236">
        <f t="shared" si="2"/>
        <v>62.7019053147121</v>
      </c>
      <c r="Q14" s="236">
        <f t="shared" si="3"/>
        <v>63.616850519339202</v>
      </c>
      <c r="R14" s="236">
        <f t="shared" si="4"/>
        <v>33.590395028435502</v>
      </c>
      <c r="S14" s="236">
        <f t="shared" si="5"/>
        <v>0</v>
      </c>
      <c r="T14" s="236">
        <f t="shared" si="6"/>
        <v>0</v>
      </c>
    </row>
    <row r="15" spans="1:20" x14ac:dyDescent="0.25">
      <c r="A15" s="220" t="s">
        <v>478</v>
      </c>
      <c r="B15" s="220">
        <f>VLOOKUP($A15,ITEMS_Tech_E!$B$7:$E$82,2,FALSE)</f>
        <v>1</v>
      </c>
      <c r="C15" s="220"/>
      <c r="D15" s="220"/>
      <c r="E15" s="397">
        <f>Analytica!AF27</f>
        <v>9.0084805137687098</v>
      </c>
      <c r="F15" s="397">
        <f>Analytica!AG27</f>
        <v>10.9402464363147</v>
      </c>
      <c r="G15" s="397">
        <f>Analytica!AH27</f>
        <v>11.967646306107399</v>
      </c>
      <c r="H15" s="397">
        <f>Analytica!AI27</f>
        <v>12.056497449546701</v>
      </c>
      <c r="I15" s="397">
        <f>Analytica!AJ27</f>
        <v>12.2894367454119</v>
      </c>
      <c r="J15" s="397">
        <f>Analytica!AK27</f>
        <v>6.0737110439854698</v>
      </c>
      <c r="K15" s="397">
        <f>Analytica!AL27</f>
        <v>0</v>
      </c>
      <c r="L15" s="397">
        <f>Analytica!AM27</f>
        <v>0</v>
      </c>
      <c r="M15" s="236">
        <f t="shared" si="7"/>
        <v>9.0084805137687098</v>
      </c>
      <c r="N15" s="236">
        <f t="shared" si="0"/>
        <v>10.9402464363147</v>
      </c>
      <c r="O15" s="236">
        <f t="shared" si="1"/>
        <v>11.967646306107399</v>
      </c>
      <c r="P15" s="236">
        <f t="shared" si="2"/>
        <v>12.056497449546701</v>
      </c>
      <c r="Q15" s="236">
        <f t="shared" si="3"/>
        <v>12.2894367454119</v>
      </c>
      <c r="R15" s="236">
        <f t="shared" si="4"/>
        <v>6.0737110439854698</v>
      </c>
      <c r="S15" s="236">
        <f t="shared" si="5"/>
        <v>0</v>
      </c>
      <c r="T15" s="236">
        <f t="shared" si="6"/>
        <v>0</v>
      </c>
    </row>
    <row r="16" spans="1:20" x14ac:dyDescent="0.25">
      <c r="A16" s="220" t="s">
        <v>479</v>
      </c>
      <c r="B16" s="220">
        <f>VLOOKUP($A16,ITEMS_Tech_E!$B$7:$E$82,2,FALSE)</f>
        <v>1</v>
      </c>
      <c r="C16" s="220"/>
      <c r="D16" s="220"/>
      <c r="E16" s="397">
        <f>Analytica!AF28</f>
        <v>3.8036597127624399</v>
      </c>
      <c r="F16" s="397">
        <f>Analytica!AG28</f>
        <v>4.56806511304314</v>
      </c>
      <c r="G16" s="397">
        <f>Analytica!AH28</f>
        <v>4.9567281421779201</v>
      </c>
      <c r="H16" s="397">
        <f>Analytica!AI28</f>
        <v>5.4543032895166199</v>
      </c>
      <c r="I16" s="397">
        <f>Analytica!AJ28</f>
        <v>5.5364181807125403</v>
      </c>
      <c r="J16" s="397">
        <f>Analytica!AK28</f>
        <v>2.8461230389806702</v>
      </c>
      <c r="K16" s="397">
        <f>Analytica!AL28</f>
        <v>0</v>
      </c>
      <c r="L16" s="397">
        <f>Analytica!AM28</f>
        <v>0</v>
      </c>
      <c r="M16" s="236">
        <f t="shared" si="7"/>
        <v>3.8036597127624399</v>
      </c>
      <c r="N16" s="236">
        <f t="shared" si="0"/>
        <v>4.56806511304314</v>
      </c>
      <c r="O16" s="236">
        <f t="shared" si="1"/>
        <v>4.9567281421779201</v>
      </c>
      <c r="P16" s="236">
        <f t="shared" si="2"/>
        <v>5.4543032895166199</v>
      </c>
      <c r="Q16" s="236">
        <f t="shared" si="3"/>
        <v>5.5364181807125403</v>
      </c>
      <c r="R16" s="236">
        <f t="shared" si="4"/>
        <v>2.8461230389806702</v>
      </c>
      <c r="S16" s="236">
        <f t="shared" si="5"/>
        <v>0</v>
      </c>
      <c r="T16" s="236">
        <f t="shared" si="6"/>
        <v>0</v>
      </c>
    </row>
    <row r="17" spans="1:20" x14ac:dyDescent="0.25">
      <c r="A17" s="220" t="s">
        <v>480</v>
      </c>
      <c r="B17" s="220">
        <f>VLOOKUP($A17,ITEMS_Tech_E!$B$7:$E$82,2,FALSE)</f>
        <v>1</v>
      </c>
      <c r="C17" s="220"/>
      <c r="D17" s="220"/>
      <c r="E17" s="397">
        <f>Analytica!AF29</f>
        <v>47.831031923368201</v>
      </c>
      <c r="F17" s="397">
        <f>Analytica!AG29</f>
        <v>66.863056666324994</v>
      </c>
      <c r="G17" s="397">
        <f>Analytica!AH29</f>
        <v>79.894521429911194</v>
      </c>
      <c r="H17" s="397">
        <f>Analytica!AI29</f>
        <v>106.12140587784999</v>
      </c>
      <c r="I17" s="397">
        <f>Analytica!AJ29</f>
        <v>107.749502594289</v>
      </c>
      <c r="J17" s="397">
        <f>Analytica!AK29</f>
        <v>61.863142535247199</v>
      </c>
      <c r="K17" s="397">
        <f>Analytica!AL29</f>
        <v>0</v>
      </c>
      <c r="L17" s="397">
        <f>Analytica!AM29</f>
        <v>0</v>
      </c>
      <c r="M17" s="236">
        <f t="shared" si="7"/>
        <v>47.831031923368201</v>
      </c>
      <c r="N17" s="236">
        <f t="shared" si="0"/>
        <v>66.863056666324994</v>
      </c>
      <c r="O17" s="236">
        <f t="shared" si="1"/>
        <v>79.894521429911194</v>
      </c>
      <c r="P17" s="236">
        <f t="shared" si="2"/>
        <v>106.12140587784999</v>
      </c>
      <c r="Q17" s="236">
        <f t="shared" si="3"/>
        <v>107.749502594289</v>
      </c>
      <c r="R17" s="236">
        <f t="shared" si="4"/>
        <v>61.863142535247199</v>
      </c>
      <c r="S17" s="236">
        <f t="shared" si="5"/>
        <v>0</v>
      </c>
      <c r="T17" s="236">
        <f t="shared" si="6"/>
        <v>0</v>
      </c>
    </row>
    <row r="18" spans="1:20" x14ac:dyDescent="0.25">
      <c r="A18" s="220" t="s">
        <v>481</v>
      </c>
      <c r="B18" s="220">
        <f>VLOOKUP($A18,ITEMS_Tech_E!$B$7:$E$82,2,FALSE)</f>
        <v>1</v>
      </c>
      <c r="C18" s="220"/>
      <c r="D18" s="220"/>
      <c r="E18" s="397">
        <f>Analytica!AF30</f>
        <v>13.6448452830588</v>
      </c>
      <c r="F18" s="397">
        <f>Analytica!AG30</f>
        <v>18.295207237743401</v>
      </c>
      <c r="G18" s="397">
        <f>Analytica!AH30</f>
        <v>21.382011031422401</v>
      </c>
      <c r="H18" s="397">
        <f>Analytica!AI30</f>
        <v>25.874280497520701</v>
      </c>
      <c r="I18" s="397">
        <f>Analytica!AJ30</f>
        <v>26.4741570116765</v>
      </c>
      <c r="J18" s="397">
        <f>Analytica!AK30</f>
        <v>14.5024186740093</v>
      </c>
      <c r="K18" s="397">
        <f>Analytica!AL30</f>
        <v>0</v>
      </c>
      <c r="L18" s="397">
        <f>Analytica!AM30</f>
        <v>0</v>
      </c>
      <c r="M18" s="236">
        <f t="shared" si="7"/>
        <v>13.6448452830588</v>
      </c>
      <c r="N18" s="236">
        <f t="shared" si="0"/>
        <v>18.295207237743401</v>
      </c>
      <c r="O18" s="236">
        <f t="shared" si="1"/>
        <v>21.382011031422401</v>
      </c>
      <c r="P18" s="236">
        <f t="shared" si="2"/>
        <v>25.874280497520701</v>
      </c>
      <c r="Q18" s="236">
        <f t="shared" si="3"/>
        <v>26.4741570116765</v>
      </c>
      <c r="R18" s="236">
        <f t="shared" si="4"/>
        <v>14.5024186740093</v>
      </c>
      <c r="S18" s="236">
        <f t="shared" si="5"/>
        <v>0</v>
      </c>
      <c r="T18" s="236">
        <f t="shared" si="6"/>
        <v>0</v>
      </c>
    </row>
    <row r="19" spans="1:20" x14ac:dyDescent="0.25">
      <c r="A19" s="220" t="s">
        <v>482</v>
      </c>
      <c r="B19" s="220">
        <f>VLOOKUP($A19,ITEMS_Tech_E!$B$7:$E$82,2,FALSE)</f>
        <v>1</v>
      </c>
      <c r="C19" s="220"/>
      <c r="D19" s="220"/>
      <c r="E19" s="397">
        <f>Analytica!AF31</f>
        <v>0.14983068014539899</v>
      </c>
      <c r="F19" s="397">
        <f>Analytica!AG31</f>
        <v>0.418026531752829</v>
      </c>
      <c r="G19" s="397">
        <f>Analytica!AH31</f>
        <v>0.60449827068682804</v>
      </c>
      <c r="H19" s="397">
        <f>Analytica!AI31</f>
        <v>1.1282532037320601</v>
      </c>
      <c r="I19" s="397">
        <f>Analytica!AJ31</f>
        <v>1.1464635873024001</v>
      </c>
      <c r="J19" s="397">
        <f>Analytica!AK31</f>
        <v>0.75373569008702301</v>
      </c>
      <c r="K19" s="397">
        <f>Analytica!AL31</f>
        <v>0</v>
      </c>
      <c r="L19" s="397">
        <f>Analytica!AM31</f>
        <v>0</v>
      </c>
      <c r="M19" s="236">
        <f t="shared" si="7"/>
        <v>0.14983068014539899</v>
      </c>
      <c r="N19" s="236">
        <f t="shared" si="0"/>
        <v>0.418026531752829</v>
      </c>
      <c r="O19" s="236">
        <f t="shared" si="1"/>
        <v>0.60449827068682804</v>
      </c>
      <c r="P19" s="236">
        <f t="shared" si="2"/>
        <v>1.1282532037320601</v>
      </c>
      <c r="Q19" s="236">
        <f t="shared" si="3"/>
        <v>1.1464635873024001</v>
      </c>
      <c r="R19" s="236">
        <f t="shared" si="4"/>
        <v>0.75373569008702301</v>
      </c>
      <c r="S19" s="236">
        <f t="shared" si="5"/>
        <v>0</v>
      </c>
      <c r="T19" s="236">
        <f t="shared" si="6"/>
        <v>0</v>
      </c>
    </row>
    <row r="20" spans="1:20" x14ac:dyDescent="0.25">
      <c r="A20" s="220" t="s">
        <v>483</v>
      </c>
      <c r="B20" s="220">
        <f>VLOOKUP($A20,ITEMS_Tech_E!$B$7:$E$82,2,FALSE)</f>
        <v>1</v>
      </c>
      <c r="C20" s="220"/>
      <c r="D20" s="220"/>
      <c r="E20" s="397">
        <f>Analytica!AF32</f>
        <v>0.31599901474388598</v>
      </c>
      <c r="F20" s="397">
        <f>Analytica!AG32</f>
        <v>0.494346589440812</v>
      </c>
      <c r="G20" s="397">
        <f>Analytica!AH32</f>
        <v>0.50786196813704299</v>
      </c>
      <c r="H20" s="397">
        <f>Analytica!AI32</f>
        <v>0.42396796687300597</v>
      </c>
      <c r="I20" s="397">
        <f>Analytica!AJ32</f>
        <v>0.44340231551193199</v>
      </c>
      <c r="J20" s="397">
        <f>Analytica!AK32</f>
        <v>0.19789597907123299</v>
      </c>
      <c r="K20" s="397">
        <f>Analytica!AL32</f>
        <v>0</v>
      </c>
      <c r="L20" s="397">
        <f>Analytica!AM32</f>
        <v>0</v>
      </c>
      <c r="M20" s="236">
        <f t="shared" si="7"/>
        <v>0.31599901474388598</v>
      </c>
      <c r="N20" s="236">
        <f t="shared" si="0"/>
        <v>0.494346589440812</v>
      </c>
      <c r="O20" s="236">
        <f t="shared" si="1"/>
        <v>0.50786196813704299</v>
      </c>
      <c r="P20" s="236">
        <f t="shared" si="2"/>
        <v>0.42396796687300597</v>
      </c>
      <c r="Q20" s="236">
        <f t="shared" si="3"/>
        <v>0.44340231551193199</v>
      </c>
      <c r="R20" s="236">
        <f t="shared" si="4"/>
        <v>0.19789597907123299</v>
      </c>
      <c r="S20" s="236">
        <f t="shared" si="5"/>
        <v>0</v>
      </c>
      <c r="T20" s="236">
        <f t="shared" si="6"/>
        <v>0</v>
      </c>
    </row>
    <row r="21" spans="1:20" x14ac:dyDescent="0.25">
      <c r="A21" s="220" t="s">
        <v>484</v>
      </c>
      <c r="B21" s="220">
        <f>VLOOKUP($A21,ITEMS_Tech_E!$B$7:$E$82,2,FALSE)</f>
        <v>1</v>
      </c>
      <c r="C21" s="220"/>
      <c r="D21" s="220"/>
      <c r="E21" s="397">
        <f>Analytica!AF33</f>
        <v>580.46073123639201</v>
      </c>
      <c r="F21" s="397">
        <f>Analytica!AG33</f>
        <v>748.39295261018594</v>
      </c>
      <c r="G21" s="397">
        <f>Analytica!AH33</f>
        <v>845.35637012110999</v>
      </c>
      <c r="H21" s="397">
        <f>Analytica!AI33</f>
        <v>1151.5302002553699</v>
      </c>
      <c r="I21" s="397">
        <f>Analytica!AJ33</f>
        <v>1024.6176041897099</v>
      </c>
      <c r="J21" s="397">
        <f>Analytica!AK33</f>
        <v>609.23289367381597</v>
      </c>
      <c r="K21" s="397">
        <f>Analytica!AL33</f>
        <v>0</v>
      </c>
      <c r="L21" s="397">
        <f>Analytica!AM33</f>
        <v>0</v>
      </c>
      <c r="M21" s="236">
        <f t="shared" si="7"/>
        <v>580.46073123639201</v>
      </c>
      <c r="N21" s="236">
        <f t="shared" si="0"/>
        <v>748.39295261018594</v>
      </c>
      <c r="O21" s="236">
        <f t="shared" si="1"/>
        <v>845.35637012110999</v>
      </c>
      <c r="P21" s="236">
        <f t="shared" si="2"/>
        <v>1151.5302002553699</v>
      </c>
      <c r="Q21" s="236">
        <f t="shared" si="3"/>
        <v>1024.6176041897099</v>
      </c>
      <c r="R21" s="236">
        <f t="shared" si="4"/>
        <v>609.23289367381597</v>
      </c>
      <c r="S21" s="236">
        <f t="shared" si="5"/>
        <v>0</v>
      </c>
      <c r="T21" s="236">
        <f t="shared" si="6"/>
        <v>0</v>
      </c>
    </row>
    <row r="22" spans="1:20" x14ac:dyDescent="0.25">
      <c r="A22" s="220" t="s">
        <v>485</v>
      </c>
      <c r="B22" s="220">
        <f>VLOOKUP($A22,ITEMS_Tech_E!$B$7:$E$82,2,FALSE)</f>
        <v>1</v>
      </c>
      <c r="C22" s="220"/>
      <c r="D22" s="220"/>
      <c r="E22" s="397">
        <f>Analytica!AF34</f>
        <v>1353.4227402310701</v>
      </c>
      <c r="F22" s="397">
        <f>Analytica!AG34</f>
        <v>1394.10583631081</v>
      </c>
      <c r="G22" s="397">
        <f>Analytica!AH34</f>
        <v>1329.80249560937</v>
      </c>
      <c r="H22" s="397">
        <f>Analytica!AI34</f>
        <v>1296.7112413349801</v>
      </c>
      <c r="I22" s="397">
        <f>Analytica!AJ34</f>
        <v>1149.83638939547</v>
      </c>
      <c r="J22" s="397">
        <f>Analytica!AK34</f>
        <v>721.33104862899097</v>
      </c>
      <c r="K22" s="397">
        <f>Analytica!AL34</f>
        <v>0</v>
      </c>
      <c r="L22" s="397">
        <f>Analytica!AM34</f>
        <v>0</v>
      </c>
      <c r="M22" s="236">
        <f t="shared" si="7"/>
        <v>1353.4227402310701</v>
      </c>
      <c r="N22" s="236">
        <f t="shared" si="0"/>
        <v>1394.10583631081</v>
      </c>
      <c r="O22" s="236">
        <f t="shared" si="1"/>
        <v>1329.80249560937</v>
      </c>
      <c r="P22" s="236">
        <f t="shared" si="2"/>
        <v>1296.7112413349801</v>
      </c>
      <c r="Q22" s="236">
        <f t="shared" si="3"/>
        <v>1149.83638939547</v>
      </c>
      <c r="R22" s="236">
        <f t="shared" si="4"/>
        <v>721.33104862899097</v>
      </c>
      <c r="S22" s="236">
        <f t="shared" si="5"/>
        <v>0</v>
      </c>
      <c r="T22" s="236">
        <f t="shared" si="6"/>
        <v>0</v>
      </c>
    </row>
    <row r="23" spans="1:20" x14ac:dyDescent="0.25">
      <c r="A23" s="220" t="s">
        <v>486</v>
      </c>
      <c r="B23" s="220">
        <f>VLOOKUP($A23,ITEMS_Tech_E!$B$7:$E$82,2,FALSE)</f>
        <v>1</v>
      </c>
      <c r="C23" s="220"/>
      <c r="D23" s="220"/>
      <c r="E23" s="397">
        <f>Analytica!AF35</f>
        <v>4.4221049327286899</v>
      </c>
      <c r="F23" s="397">
        <f>Analytica!AG35</f>
        <v>13.999249671464099</v>
      </c>
      <c r="G23" s="397">
        <f>Analytica!AH35</f>
        <v>22.300251189988199</v>
      </c>
      <c r="H23" s="397">
        <f>Analytica!AI35</f>
        <v>69.8415661662536</v>
      </c>
      <c r="I23" s="397">
        <f>Analytica!AJ35</f>
        <v>66.6909703537209</v>
      </c>
      <c r="J23" s="397">
        <f>Analytica!AK35</f>
        <v>48.344847105240099</v>
      </c>
      <c r="K23" s="397">
        <f>Analytica!AL35</f>
        <v>0</v>
      </c>
      <c r="L23" s="397">
        <f>Analytica!AM35</f>
        <v>0</v>
      </c>
      <c r="M23" s="236">
        <f t="shared" si="7"/>
        <v>4.4221049327286899</v>
      </c>
      <c r="N23" s="236">
        <f t="shared" si="0"/>
        <v>13.999249671464099</v>
      </c>
      <c r="O23" s="236">
        <f t="shared" si="1"/>
        <v>22.300251189988199</v>
      </c>
      <c r="P23" s="236">
        <f t="shared" si="2"/>
        <v>69.8415661662536</v>
      </c>
      <c r="Q23" s="236">
        <f t="shared" si="3"/>
        <v>66.6909703537209</v>
      </c>
      <c r="R23" s="236">
        <f t="shared" si="4"/>
        <v>48.344847105240099</v>
      </c>
      <c r="S23" s="236">
        <f t="shared" si="5"/>
        <v>0</v>
      </c>
      <c r="T23" s="236">
        <f t="shared" si="6"/>
        <v>0</v>
      </c>
    </row>
    <row r="24" spans="1:20" x14ac:dyDescent="0.25">
      <c r="A24" s="220" t="s">
        <v>487</v>
      </c>
      <c r="B24" s="220">
        <f>VLOOKUP($A24,ITEMS_Tech_E!$B$7:$E$82,2,FALSE)</f>
        <v>1</v>
      </c>
      <c r="C24" s="220"/>
      <c r="D24" s="220"/>
      <c r="E24" s="397">
        <f>Analytica!AF36</f>
        <v>278.31356741260902</v>
      </c>
      <c r="F24" s="397">
        <f>Analytica!AG36</f>
        <v>278.951860645625</v>
      </c>
      <c r="G24" s="397">
        <f>Analytica!AH36</f>
        <v>261.56646550238003</v>
      </c>
      <c r="H24" s="397">
        <f>Analytica!AI36</f>
        <v>253.885003628612</v>
      </c>
      <c r="I24" s="397">
        <f>Analytica!AJ36</f>
        <v>223.81698991359701</v>
      </c>
      <c r="J24" s="397">
        <f>Analytica!AK36</f>
        <v>136.09445444360699</v>
      </c>
      <c r="K24" s="397">
        <f>Analytica!AL36</f>
        <v>0</v>
      </c>
      <c r="L24" s="397">
        <f>Analytica!AM36</f>
        <v>0</v>
      </c>
      <c r="M24" s="236">
        <f t="shared" si="7"/>
        <v>278.31356741260902</v>
      </c>
      <c r="N24" s="236">
        <f t="shared" si="0"/>
        <v>278.951860645625</v>
      </c>
      <c r="O24" s="236">
        <f t="shared" si="1"/>
        <v>261.56646550238003</v>
      </c>
      <c r="P24" s="236">
        <f t="shared" si="2"/>
        <v>253.885003628612</v>
      </c>
      <c r="Q24" s="236">
        <f t="shared" si="3"/>
        <v>223.81698991359701</v>
      </c>
      <c r="R24" s="236">
        <f t="shared" si="4"/>
        <v>136.09445444360699</v>
      </c>
      <c r="S24" s="236">
        <f t="shared" si="5"/>
        <v>0</v>
      </c>
      <c r="T24" s="236">
        <f t="shared" si="6"/>
        <v>0</v>
      </c>
    </row>
    <row r="25" spans="1:20" x14ac:dyDescent="0.25">
      <c r="A25" s="220" t="s">
        <v>488</v>
      </c>
      <c r="B25" s="220">
        <f>VLOOKUP($A25,ITEMS_Tech_E!$B$7:$E$82,2,FALSE)</f>
        <v>1</v>
      </c>
      <c r="C25" s="220"/>
      <c r="D25" s="220"/>
      <c r="E25" s="397">
        <f>Analytica!AF37</f>
        <v>76.403942902944607</v>
      </c>
      <c r="F25" s="397">
        <f>Analytica!AG37</f>
        <v>167.10759375124499</v>
      </c>
      <c r="G25" s="397">
        <f>Analytica!AH37</f>
        <v>231.73880616391401</v>
      </c>
      <c r="H25" s="397">
        <f>Analytica!AI37</f>
        <v>439.31608188194201</v>
      </c>
      <c r="I25" s="397">
        <f>Analytica!AJ37</f>
        <v>423.99215654706899</v>
      </c>
      <c r="J25" s="397">
        <f>Analytica!AK37</f>
        <v>305.37671951021599</v>
      </c>
      <c r="K25" s="397">
        <f>Analytica!AL37</f>
        <v>0</v>
      </c>
      <c r="L25" s="397">
        <f>Analytica!AM37</f>
        <v>0</v>
      </c>
      <c r="M25" s="236">
        <f t="shared" si="7"/>
        <v>76.403942902944607</v>
      </c>
      <c r="N25" s="236">
        <f t="shared" si="0"/>
        <v>167.10759375124499</v>
      </c>
      <c r="O25" s="236">
        <f t="shared" si="1"/>
        <v>231.73880616391401</v>
      </c>
      <c r="P25" s="236">
        <f t="shared" si="2"/>
        <v>439.31608188194201</v>
      </c>
      <c r="Q25" s="236">
        <f t="shared" si="3"/>
        <v>423.99215654706899</v>
      </c>
      <c r="R25" s="236">
        <f t="shared" si="4"/>
        <v>305.37671951021599</v>
      </c>
      <c r="S25" s="236">
        <f t="shared" si="5"/>
        <v>0</v>
      </c>
      <c r="T25" s="236">
        <f t="shared" si="6"/>
        <v>0</v>
      </c>
    </row>
    <row r="26" spans="1:20" x14ac:dyDescent="0.25">
      <c r="A26" s="220" t="s">
        <v>489</v>
      </c>
      <c r="B26" s="220">
        <f>VLOOKUP($A26,ITEMS_Tech_E!$B$7:$E$82,2,FALSE)</f>
        <v>1</v>
      </c>
      <c r="C26" s="220"/>
      <c r="D26" s="220"/>
      <c r="E26" s="397">
        <f>Analytica!AF38</f>
        <v>0</v>
      </c>
      <c r="F26" s="397">
        <f>Analytica!AG38</f>
        <v>0.33093869359735401</v>
      </c>
      <c r="G26" s="397">
        <f>Analytica!AH38</f>
        <v>0.52182555211336101</v>
      </c>
      <c r="H26" s="397">
        <f>Analytica!AI38</f>
        <v>0.80312517525851201</v>
      </c>
      <c r="I26" s="397">
        <f>Analytica!AJ38</f>
        <v>0.78934356053377797</v>
      </c>
      <c r="J26" s="397">
        <f>Analytica!AK38</f>
        <v>0.60265953422099805</v>
      </c>
      <c r="K26" s="397">
        <f>Analytica!AL38</f>
        <v>0</v>
      </c>
      <c r="L26" s="397">
        <f>Analytica!AM38</f>
        <v>0</v>
      </c>
      <c r="M26" s="236">
        <f t="shared" si="7"/>
        <v>0</v>
      </c>
      <c r="N26" s="236">
        <f t="shared" si="0"/>
        <v>0.33093869359735401</v>
      </c>
      <c r="O26" s="236">
        <f t="shared" si="1"/>
        <v>0.52182555211336101</v>
      </c>
      <c r="P26" s="236">
        <f t="shared" si="2"/>
        <v>0.80312517525851201</v>
      </c>
      <c r="Q26" s="236">
        <f t="shared" si="3"/>
        <v>0.78934356053377797</v>
      </c>
      <c r="R26" s="236">
        <f t="shared" si="4"/>
        <v>0.60265953422099805</v>
      </c>
      <c r="S26" s="236">
        <f t="shared" si="5"/>
        <v>0</v>
      </c>
      <c r="T26" s="236">
        <f t="shared" si="6"/>
        <v>0</v>
      </c>
    </row>
    <row r="27" spans="1:20" x14ac:dyDescent="0.25">
      <c r="A27" s="220" t="s">
        <v>490</v>
      </c>
      <c r="B27" s="220">
        <f>VLOOKUP($A27,ITEMS_Tech_E!$B$7:$E$82,2,FALSE)</f>
        <v>1</v>
      </c>
      <c r="C27" s="220"/>
      <c r="D27" s="220"/>
      <c r="E27" s="397">
        <f>Analytica!AF39</f>
        <v>107.841116769957</v>
      </c>
      <c r="F27" s="397">
        <f>Analytica!AG39</f>
        <v>203.048420366665</v>
      </c>
      <c r="G27" s="397">
        <f>Analytica!AH39</f>
        <v>269.85381765315498</v>
      </c>
      <c r="H27" s="397">
        <f>Analytica!AI39</f>
        <v>476.243900144387</v>
      </c>
      <c r="I27" s="397">
        <f>Analytica!AJ39</f>
        <v>456.37773432999398</v>
      </c>
      <c r="J27" s="397">
        <f>Analytica!AK39</f>
        <v>321.47565435311702</v>
      </c>
      <c r="K27" s="397">
        <f>Analytica!AL39</f>
        <v>0</v>
      </c>
      <c r="L27" s="397">
        <f>Analytica!AM39</f>
        <v>0</v>
      </c>
      <c r="M27" s="236">
        <f t="shared" si="7"/>
        <v>107.841116769957</v>
      </c>
      <c r="N27" s="236">
        <f t="shared" si="0"/>
        <v>203.048420366665</v>
      </c>
      <c r="O27" s="236">
        <f t="shared" si="1"/>
        <v>269.85381765315498</v>
      </c>
      <c r="P27" s="236">
        <f t="shared" si="2"/>
        <v>476.243900144387</v>
      </c>
      <c r="Q27" s="236">
        <f t="shared" si="3"/>
        <v>456.37773432999398</v>
      </c>
      <c r="R27" s="236">
        <f t="shared" si="4"/>
        <v>321.47565435311702</v>
      </c>
      <c r="S27" s="236">
        <f t="shared" si="5"/>
        <v>0</v>
      </c>
      <c r="T27" s="236">
        <f t="shared" si="6"/>
        <v>0</v>
      </c>
    </row>
    <row r="28" spans="1:20" x14ac:dyDescent="0.25">
      <c r="A28" s="220" t="s">
        <v>491</v>
      </c>
      <c r="B28" s="220">
        <f>VLOOKUP($A28,ITEMS_Tech_E!$B$7:$E$82,2,FALSE)</f>
        <v>1</v>
      </c>
      <c r="C28" s="220"/>
      <c r="D28" s="220"/>
      <c r="E28" s="397">
        <f>Analytica!AF40</f>
        <v>0</v>
      </c>
      <c r="F28" s="397">
        <f>Analytica!AG40</f>
        <v>0</v>
      </c>
      <c r="G28" s="397">
        <f>Analytica!AH40</f>
        <v>0</v>
      </c>
      <c r="H28" s="397">
        <f>Analytica!AI40</f>
        <v>0</v>
      </c>
      <c r="I28" s="397">
        <f>Analytica!AJ40</f>
        <v>0</v>
      </c>
      <c r="J28" s="397">
        <f>Analytica!AK40</f>
        <v>0</v>
      </c>
      <c r="K28" s="397">
        <f>Analytica!AL40</f>
        <v>0</v>
      </c>
      <c r="L28" s="397">
        <f>Analytica!AM40</f>
        <v>0</v>
      </c>
      <c r="M28" s="236">
        <f t="shared" si="7"/>
        <v>0</v>
      </c>
      <c r="N28" s="236">
        <f t="shared" si="0"/>
        <v>0</v>
      </c>
      <c r="O28" s="236">
        <f t="shared" si="1"/>
        <v>0</v>
      </c>
      <c r="P28" s="236">
        <f t="shared" si="2"/>
        <v>0</v>
      </c>
      <c r="Q28" s="236">
        <f t="shared" si="3"/>
        <v>0</v>
      </c>
      <c r="R28" s="236">
        <f t="shared" si="4"/>
        <v>0</v>
      </c>
      <c r="S28" s="236">
        <f t="shared" si="5"/>
        <v>0</v>
      </c>
      <c r="T28" s="236">
        <f t="shared" si="6"/>
        <v>0</v>
      </c>
    </row>
    <row r="29" spans="1:20" x14ac:dyDescent="0.25">
      <c r="A29" s="220" t="s">
        <v>288</v>
      </c>
      <c r="B29" s="220">
        <f>VLOOKUP($A29,ITEMS_Tech_E!$B$7:$E$82,2,FALSE)</f>
        <v>1</v>
      </c>
      <c r="C29" s="220"/>
      <c r="D29" s="220"/>
      <c r="E29" s="397">
        <f>Analytica!AF41</f>
        <v>281.57429249367499</v>
      </c>
      <c r="F29" s="397">
        <f>Analytica!AG41</f>
        <v>372.534035064303</v>
      </c>
      <c r="G29" s="397">
        <f>Analytica!AH41</f>
        <v>418.16208070848103</v>
      </c>
      <c r="H29" s="397">
        <f>Analytica!AI41</f>
        <v>532.77109028187397</v>
      </c>
      <c r="I29" s="397">
        <f>Analytica!AJ41</f>
        <v>480.39595774755702</v>
      </c>
      <c r="J29" s="397">
        <f>Analytica!AK41</f>
        <v>247.18185019438701</v>
      </c>
      <c r="K29" s="397">
        <f>Analytica!AL41</f>
        <v>0</v>
      </c>
      <c r="L29" s="397">
        <f>Analytica!AM41</f>
        <v>0</v>
      </c>
      <c r="M29" s="236">
        <f t="shared" si="7"/>
        <v>281.57429249367499</v>
      </c>
      <c r="N29" s="236">
        <f t="shared" si="0"/>
        <v>372.534035064303</v>
      </c>
      <c r="O29" s="236">
        <f t="shared" si="1"/>
        <v>418.16208070848103</v>
      </c>
      <c r="P29" s="236">
        <f t="shared" si="2"/>
        <v>532.77109028187397</v>
      </c>
      <c r="Q29" s="236">
        <f t="shared" si="3"/>
        <v>480.39595774755702</v>
      </c>
      <c r="R29" s="236">
        <f t="shared" si="4"/>
        <v>247.18185019438701</v>
      </c>
      <c r="S29" s="236">
        <f t="shared" si="5"/>
        <v>0</v>
      </c>
      <c r="T29" s="236">
        <f t="shared" si="6"/>
        <v>0</v>
      </c>
    </row>
    <row r="30" spans="1:20" x14ac:dyDescent="0.25">
      <c r="A30" s="220" t="s">
        <v>291</v>
      </c>
      <c r="B30" s="220">
        <f>VLOOKUP($A30,ITEMS_Tech_E!$B$7:$E$82,2,FALSE)</f>
        <v>1</v>
      </c>
      <c r="C30" s="220"/>
      <c r="D30" s="220"/>
      <c r="E30" s="397">
        <f>Analytica!AF42</f>
        <v>15.8</v>
      </c>
      <c r="F30" s="397">
        <f>Analytica!AG42</f>
        <v>15.8</v>
      </c>
      <c r="G30" s="397">
        <f>Analytica!AH42</f>
        <v>15.8</v>
      </c>
      <c r="H30" s="397">
        <f>Analytica!AI42</f>
        <v>15.8</v>
      </c>
      <c r="I30" s="397">
        <f>Analytica!AJ42</f>
        <v>15.8</v>
      </c>
      <c r="J30" s="397">
        <f>Analytica!AK42</f>
        <v>12.64</v>
      </c>
      <c r="K30" s="397">
        <f>Analytica!AL42</f>
        <v>0</v>
      </c>
      <c r="L30" s="397">
        <f>Analytica!AM42</f>
        <v>0</v>
      </c>
      <c r="M30" s="236">
        <f t="shared" si="7"/>
        <v>15.8</v>
      </c>
      <c r="N30" s="236">
        <f t="shared" si="0"/>
        <v>15.8</v>
      </c>
      <c r="O30" s="236">
        <f t="shared" si="1"/>
        <v>15.8</v>
      </c>
      <c r="P30" s="236">
        <f t="shared" si="2"/>
        <v>15.8</v>
      </c>
      <c r="Q30" s="236">
        <f t="shared" si="3"/>
        <v>15.8</v>
      </c>
      <c r="R30" s="236">
        <f t="shared" si="4"/>
        <v>12.64</v>
      </c>
      <c r="S30" s="236">
        <f t="shared" si="5"/>
        <v>0</v>
      </c>
      <c r="T30" s="236">
        <f t="shared" si="6"/>
        <v>0</v>
      </c>
    </row>
    <row r="31" spans="1:20" x14ac:dyDescent="0.25">
      <c r="A31" s="220" t="s">
        <v>558</v>
      </c>
      <c r="B31" s="220">
        <f>VLOOKUP($A31,ITEMS_Tech_E!$B$7:$E$82,2,FALSE)</f>
        <v>1</v>
      </c>
      <c r="C31" s="220"/>
      <c r="D31" s="220"/>
      <c r="E31" s="397">
        <f>Analytica!AF43</f>
        <v>2.15682233539914</v>
      </c>
      <c r="F31" s="397">
        <f>Analytica!AG43</f>
        <v>10.15242101833325</v>
      </c>
      <c r="G31" s="397">
        <f>Analytica!AH43</f>
        <v>13.492690882657749</v>
      </c>
      <c r="H31" s="397">
        <f>Analytica!AI43</f>
        <v>23.812195007219351</v>
      </c>
      <c r="I31" s="397">
        <f>Analytica!AJ43</f>
        <v>22.818886716499701</v>
      </c>
      <c r="J31" s="397">
        <f>Analytica!AK43</f>
        <v>16.073782717655853</v>
      </c>
      <c r="K31" s="397">
        <f>Analytica!AL43</f>
        <v>0</v>
      </c>
      <c r="L31" s="397">
        <f>Analytica!AM43</f>
        <v>0</v>
      </c>
      <c r="M31" s="236">
        <f t="shared" si="7"/>
        <v>2.15682233539914</v>
      </c>
      <c r="N31" s="236">
        <f t="shared" si="0"/>
        <v>10.15242101833325</v>
      </c>
      <c r="O31" s="236">
        <f t="shared" si="1"/>
        <v>13.492690882657749</v>
      </c>
      <c r="P31" s="236">
        <f t="shared" si="2"/>
        <v>23.812195007219351</v>
      </c>
      <c r="Q31" s="236">
        <f t="shared" si="3"/>
        <v>22.818886716499701</v>
      </c>
      <c r="R31" s="236">
        <f t="shared" si="4"/>
        <v>16.073782717655853</v>
      </c>
      <c r="S31" s="236">
        <f t="shared" si="5"/>
        <v>0</v>
      </c>
      <c r="T31" s="236">
        <f t="shared" si="6"/>
        <v>0</v>
      </c>
    </row>
    <row r="32" spans="1:20" x14ac:dyDescent="0.25">
      <c r="A32" s="220" t="s">
        <v>560</v>
      </c>
      <c r="B32" s="220">
        <f>VLOOKUP($A32,ITEMS_Tech_E!$B$7:$E$82,2,FALSE)</f>
        <v>1</v>
      </c>
      <c r="C32" s="220"/>
      <c r="D32" s="220"/>
      <c r="E32" s="397">
        <f>Analytica!AF44</f>
        <v>0</v>
      </c>
      <c r="F32" s="397">
        <f>Analytica!AG44</f>
        <v>0</v>
      </c>
      <c r="G32" s="397">
        <f>Analytica!AH44</f>
        <v>0</v>
      </c>
      <c r="H32" s="397">
        <f>Analytica!AI44</f>
        <v>3.3192828574538001E-2</v>
      </c>
      <c r="I32" s="397">
        <f>Analytica!AJ44</f>
        <v>3.3103303930313001E-2</v>
      </c>
      <c r="J32" s="397">
        <f>Analytica!AK44</f>
        <v>2.9041173582530902E-2</v>
      </c>
      <c r="K32" s="397">
        <f>Analytica!AL44</f>
        <v>0</v>
      </c>
      <c r="L32" s="397">
        <f>Analytica!AM44</f>
        <v>0</v>
      </c>
      <c r="M32" s="236">
        <f t="shared" si="7"/>
        <v>0</v>
      </c>
      <c r="N32" s="236">
        <f t="shared" si="0"/>
        <v>0</v>
      </c>
      <c r="O32" s="236">
        <f t="shared" si="1"/>
        <v>0</v>
      </c>
      <c r="P32" s="236">
        <f t="shared" si="2"/>
        <v>3.3192828574538001E-2</v>
      </c>
      <c r="Q32" s="236">
        <f t="shared" si="3"/>
        <v>3.3103303930313001E-2</v>
      </c>
      <c r="R32" s="236">
        <f t="shared" si="4"/>
        <v>2.9041173582530902E-2</v>
      </c>
      <c r="S32" s="236">
        <f t="shared" si="5"/>
        <v>0</v>
      </c>
      <c r="T32" s="236">
        <f t="shared" si="6"/>
        <v>0</v>
      </c>
    </row>
    <row r="33" spans="1:20" x14ac:dyDescent="0.25">
      <c r="A33" s="220" t="s">
        <v>567</v>
      </c>
      <c r="B33" s="220">
        <f>VLOOKUP($A33,ITEMS_Tech_E!$B$7:$E$82,2,FALSE)</f>
        <v>1</v>
      </c>
      <c r="C33" s="220"/>
      <c r="D33" s="220"/>
      <c r="E33" s="397">
        <f>Analytica!AF45</f>
        <v>2.7831356741260902</v>
      </c>
      <c r="F33" s="397">
        <f>Analytica!AG45</f>
        <v>2.7895186064562503</v>
      </c>
      <c r="G33" s="397">
        <f>Analytica!AH45</f>
        <v>2.6156646550238003</v>
      </c>
      <c r="H33" s="397">
        <f>Analytica!AI45</f>
        <v>2.5388500362861199</v>
      </c>
      <c r="I33" s="397">
        <f>Analytica!AJ45</f>
        <v>2.2381698991359702</v>
      </c>
      <c r="J33" s="397">
        <f>Analytica!AK45</f>
        <v>1.3609445444360699</v>
      </c>
      <c r="K33" s="397">
        <f>Analytica!AL45</f>
        <v>0</v>
      </c>
      <c r="L33" s="397">
        <f>Analytica!AM45</f>
        <v>0</v>
      </c>
      <c r="M33" s="236">
        <f t="shared" si="7"/>
        <v>2.7831356741260902</v>
      </c>
      <c r="N33" s="236">
        <f t="shared" si="0"/>
        <v>2.7895186064562503</v>
      </c>
      <c r="O33" s="236">
        <f t="shared" si="1"/>
        <v>2.6156646550238003</v>
      </c>
      <c r="P33" s="236">
        <f t="shared" si="2"/>
        <v>2.5388500362861199</v>
      </c>
      <c r="Q33" s="236">
        <f t="shared" si="3"/>
        <v>2.2381698991359702</v>
      </c>
      <c r="R33" s="236">
        <f t="shared" si="4"/>
        <v>1.3609445444360699</v>
      </c>
      <c r="S33" s="236">
        <f t="shared" si="5"/>
        <v>0</v>
      </c>
      <c r="T33" s="236">
        <f t="shared" si="6"/>
        <v>0</v>
      </c>
    </row>
    <row r="34" spans="1:20" x14ac:dyDescent="0.25">
      <c r="A34" s="220" t="s">
        <v>565</v>
      </c>
      <c r="B34" s="220">
        <f>VLOOKUP($A34,ITEMS_Tech_E!$B$7:$E$82,2,FALSE)</f>
        <v>1</v>
      </c>
      <c r="C34" s="220"/>
      <c r="D34" s="220"/>
      <c r="E34" s="397">
        <f>Analytica!AF46</f>
        <v>0.215647607151075</v>
      </c>
      <c r="F34" s="397">
        <f>Analytica!AG46</f>
        <v>0.26527095234144399</v>
      </c>
      <c r="G34" s="397">
        <f>Analytica!AH46</f>
        <v>0.28126256176370301</v>
      </c>
      <c r="H34" s="397">
        <f>Analytica!AI46</f>
        <v>0.25195252265234702</v>
      </c>
      <c r="I34" s="397">
        <f>Analytica!AJ46</f>
        <v>0.230836519623628</v>
      </c>
      <c r="J34" s="397">
        <f>Analytica!AK46</f>
        <v>0.155161252325553</v>
      </c>
      <c r="K34" s="397">
        <f>Analytica!AL46</f>
        <v>0</v>
      </c>
      <c r="L34" s="397">
        <f>Analytica!AM46</f>
        <v>0</v>
      </c>
      <c r="M34" s="236">
        <f t="shared" si="7"/>
        <v>0.215647607151075</v>
      </c>
      <c r="N34" s="236">
        <f t="shared" si="0"/>
        <v>0.26527095234144399</v>
      </c>
      <c r="O34" s="236">
        <f t="shared" si="1"/>
        <v>0.28126256176370301</v>
      </c>
      <c r="P34" s="236">
        <f t="shared" si="2"/>
        <v>0.25195252265234702</v>
      </c>
      <c r="Q34" s="236">
        <f t="shared" si="3"/>
        <v>0.230836519623628</v>
      </c>
      <c r="R34" s="236">
        <f t="shared" si="4"/>
        <v>0.155161252325553</v>
      </c>
      <c r="S34" s="236">
        <f t="shared" si="5"/>
        <v>0</v>
      </c>
      <c r="T34" s="236">
        <f t="shared" si="6"/>
        <v>0</v>
      </c>
    </row>
    <row r="35" spans="1:20" x14ac:dyDescent="0.25">
      <c r="A35" s="220" t="s">
        <v>571</v>
      </c>
      <c r="B35" s="220">
        <f>VLOOKUP($A35,ITEMS_Tech_E!$B$7:$E$82,2,FALSE)</f>
        <v>1</v>
      </c>
      <c r="C35" s="220"/>
      <c r="D35" s="220"/>
      <c r="E35" s="397">
        <f>Analytica!AF47</f>
        <v>2.7068454804621402</v>
      </c>
      <c r="F35" s="397">
        <f>Analytica!AG47</f>
        <v>13.9410583631081</v>
      </c>
      <c r="G35" s="397">
        <f>Analytica!AH47</f>
        <v>13.2980249560937</v>
      </c>
      <c r="H35" s="397">
        <f>Analytica!AI47</f>
        <v>12.967112413349801</v>
      </c>
      <c r="I35" s="397">
        <f>Analytica!AJ47</f>
        <v>11.4983638939547</v>
      </c>
      <c r="J35" s="397">
        <f>Analytica!AK47</f>
        <v>7.2133104862899096</v>
      </c>
      <c r="K35" s="397">
        <f>Analytica!AL47</f>
        <v>0</v>
      </c>
      <c r="L35" s="397">
        <f>Analytica!AM47</f>
        <v>0</v>
      </c>
      <c r="M35" s="236">
        <f t="shared" si="7"/>
        <v>2.7068454804621402</v>
      </c>
      <c r="N35" s="236">
        <f t="shared" si="0"/>
        <v>13.9410583631081</v>
      </c>
      <c r="O35" s="236">
        <f t="shared" si="1"/>
        <v>13.2980249560937</v>
      </c>
      <c r="P35" s="236">
        <f t="shared" si="2"/>
        <v>12.967112413349801</v>
      </c>
      <c r="Q35" s="236">
        <f t="shared" si="3"/>
        <v>11.4983638939547</v>
      </c>
      <c r="R35" s="236">
        <f t="shared" si="4"/>
        <v>7.2133104862899096</v>
      </c>
      <c r="S35" s="236">
        <f t="shared" si="5"/>
        <v>0</v>
      </c>
      <c r="T35" s="236">
        <f t="shared" si="6"/>
        <v>0</v>
      </c>
    </row>
    <row r="36" spans="1:20" x14ac:dyDescent="0.25">
      <c r="A36" s="220" t="s">
        <v>572</v>
      </c>
      <c r="B36" s="220">
        <f>VLOOKUP($A36,ITEMS_Tech_E!$B$7:$E$82,2,FALSE)</f>
        <v>1</v>
      </c>
      <c r="C36" s="220"/>
      <c r="D36" s="220"/>
      <c r="E36" s="397">
        <f>Analytica!AF48</f>
        <v>0.31596472553581301</v>
      </c>
      <c r="F36" s="397">
        <f>Analytica!AG48</f>
        <v>0.22832550472947452</v>
      </c>
      <c r="G36" s="397">
        <f>Analytica!AH48</f>
        <v>0.203305017300633</v>
      </c>
      <c r="H36" s="397">
        <f>Analytica!AI48</f>
        <v>0.116677774299976</v>
      </c>
      <c r="I36" s="397">
        <f>Analytica!AJ48</f>
        <v>9.3964709007464009E-2</v>
      </c>
      <c r="J36" s="397">
        <f>Analytica!AK48</f>
        <v>1.7932784706102999E-2</v>
      </c>
      <c r="K36" s="397">
        <f>Analytica!AL48</f>
        <v>0</v>
      </c>
      <c r="L36" s="397">
        <f>Analytica!AM48</f>
        <v>0</v>
      </c>
      <c r="M36" s="236">
        <f t="shared" ref="M36" si="8">E36*M$2</f>
        <v>0.31596472553581301</v>
      </c>
      <c r="N36" s="236">
        <f t="shared" ref="N36" si="9">F36*N$2</f>
        <v>0.22832550472947452</v>
      </c>
      <c r="O36" s="236">
        <f t="shared" ref="O36" si="10">G36*O$2</f>
        <v>0.203305017300633</v>
      </c>
      <c r="P36" s="236">
        <f t="shared" ref="P36" si="11">H36*P$2</f>
        <v>0.116677774299976</v>
      </c>
      <c r="Q36" s="236">
        <f t="shared" ref="Q36" si="12">I36*Q$2</f>
        <v>9.3964709007464009E-2</v>
      </c>
      <c r="R36" s="236">
        <f t="shared" ref="R36" si="13">J36*R$2</f>
        <v>1.7932784706102999E-2</v>
      </c>
      <c r="S36" s="236">
        <f t="shared" ref="S36" si="14">K36*S$2</f>
        <v>0</v>
      </c>
      <c r="T36" s="236">
        <f t="shared" ref="T36" si="15">L36*T$2</f>
        <v>0</v>
      </c>
    </row>
    <row r="37" spans="1:20" x14ac:dyDescent="0.25">
      <c r="A37" s="220" t="s">
        <v>823</v>
      </c>
      <c r="B37" s="220">
        <f>VLOOKUP($A37,ITEMS_Tech_E!$B$7:$E$82,2,FALSE)</f>
        <v>1</v>
      </c>
      <c r="C37" s="397">
        <f>INDEX('EFF-E_ANTC'!$C$4:$C$47,MATCH($A37,'EFF-E_ANTC'!$A$4:$A$47,0))</f>
        <v>2.8040417913534488</v>
      </c>
      <c r="D37" s="397">
        <f>INDEX(FNRG_ANTC!$I$4:$I$51,MATCH($A37,FNRG_ANTC!$A$4:$A$51,0))</f>
        <v>2.5605771444500771</v>
      </c>
      <c r="E37" s="236">
        <f>C37*D37</f>
        <v>7.1799653230224925</v>
      </c>
      <c r="F37" s="236">
        <f>E37</f>
        <v>7.1799653230224925</v>
      </c>
      <c r="G37" s="236">
        <f t="shared" ref="G37:L37" si="16">F37</f>
        <v>7.1799653230224925</v>
      </c>
      <c r="H37" s="236">
        <f t="shared" si="16"/>
        <v>7.1799653230224925</v>
      </c>
      <c r="I37" s="236">
        <f t="shared" si="16"/>
        <v>7.1799653230224925</v>
      </c>
      <c r="J37" s="236">
        <f t="shared" si="16"/>
        <v>7.1799653230224925</v>
      </c>
      <c r="K37" s="236">
        <f t="shared" si="16"/>
        <v>7.1799653230224925</v>
      </c>
      <c r="L37" s="236">
        <f t="shared" si="16"/>
        <v>7.1799653230224925</v>
      </c>
      <c r="M37" s="236">
        <f t="shared" ref="M37:M47" si="17">E37*M$2</f>
        <v>7.1799653230224925</v>
      </c>
      <c r="N37" s="236">
        <f t="shared" ref="N37:N47" si="18">F37*N$2</f>
        <v>7.1799653230224925</v>
      </c>
      <c r="O37" s="236">
        <f t="shared" ref="O37:O47" si="19">G37*O$2</f>
        <v>7.1799653230224925</v>
      </c>
      <c r="P37" s="236">
        <f t="shared" ref="P37:P47" si="20">H37*P$2</f>
        <v>7.1799653230224925</v>
      </c>
      <c r="Q37" s="236">
        <f t="shared" ref="Q37:Q47" si="21">I37*Q$2</f>
        <v>7.1799653230224925</v>
      </c>
      <c r="R37" s="236">
        <f t="shared" ref="R37:R47" si="22">J37*R$2</f>
        <v>7.1799653230224925</v>
      </c>
      <c r="S37" s="236">
        <f t="shared" ref="S37:S47" si="23">K37*S$2</f>
        <v>0</v>
      </c>
      <c r="T37" s="236">
        <f t="shared" ref="T37:T47" si="24">L37*T$2</f>
        <v>0</v>
      </c>
    </row>
    <row r="38" spans="1:20" x14ac:dyDescent="0.25">
      <c r="A38" s="220" t="s">
        <v>827</v>
      </c>
      <c r="B38" s="220">
        <f>VLOOKUP($A38,ITEMS_Tech_E!$B$7:$E$82,2,FALSE)</f>
        <v>1</v>
      </c>
      <c r="C38" s="397">
        <f>INDEX('EFF-E_ANTC'!$C$4:$C$47,MATCH($A38,'EFF-E_ANTC'!$A$4:$A$47,0))</f>
        <v>4.0285422116338081</v>
      </c>
      <c r="D38" s="397">
        <f>INDEX(FNRG_ANTC!$I$4:$I$51,MATCH($A38,FNRG_ANTC!$A$4:$A$51,0))</f>
        <v>3.6787586919604651</v>
      </c>
      <c r="E38" s="236">
        <f t="shared" ref="E38:E47" si="25">C38*D38</f>
        <v>14.820034676977507</v>
      </c>
      <c r="F38" s="236">
        <f t="shared" ref="F38:L38" si="26">E38</f>
        <v>14.820034676977507</v>
      </c>
      <c r="G38" s="236">
        <f t="shared" si="26"/>
        <v>14.820034676977507</v>
      </c>
      <c r="H38" s="236">
        <f t="shared" si="26"/>
        <v>14.820034676977507</v>
      </c>
      <c r="I38" s="236">
        <f t="shared" si="26"/>
        <v>14.820034676977507</v>
      </c>
      <c r="J38" s="236">
        <f t="shared" si="26"/>
        <v>14.820034676977507</v>
      </c>
      <c r="K38" s="236">
        <f t="shared" si="26"/>
        <v>14.820034676977507</v>
      </c>
      <c r="L38" s="236">
        <f t="shared" si="26"/>
        <v>14.820034676977507</v>
      </c>
      <c r="M38" s="236">
        <f t="shared" si="17"/>
        <v>14.820034676977507</v>
      </c>
      <c r="N38" s="236">
        <f t="shared" si="18"/>
        <v>14.820034676977507</v>
      </c>
      <c r="O38" s="236">
        <f t="shared" si="19"/>
        <v>14.820034676977507</v>
      </c>
      <c r="P38" s="236">
        <f t="shared" si="20"/>
        <v>14.820034676977507</v>
      </c>
      <c r="Q38" s="236">
        <f t="shared" si="21"/>
        <v>14.820034676977507</v>
      </c>
      <c r="R38" s="236">
        <f t="shared" si="22"/>
        <v>14.820034676977507</v>
      </c>
      <c r="S38" s="373">
        <f>R38</f>
        <v>14.820034676977507</v>
      </c>
      <c r="T38" s="373">
        <f>S38</f>
        <v>14.820034676977507</v>
      </c>
    </row>
    <row r="39" spans="1:20" x14ac:dyDescent="0.25">
      <c r="A39" s="220" t="s">
        <v>829</v>
      </c>
      <c r="B39" s="220">
        <f>VLOOKUP($A39,ITEMS_Tech_E!$B$7:$E$82,2,FALSE)</f>
        <v>1</v>
      </c>
      <c r="C39" s="397">
        <f>INDEX('EFF-E_ANTC'!$C$4:$C$47,MATCH($A39,'EFF-E_ANTC'!$A$4:$A$47,0))</f>
        <v>4.2248786996646812</v>
      </c>
      <c r="D39" s="397">
        <f>INDEX(FNRG_ANTC!$I$4:$I$51,MATCH($A39,FNRG_ANTC!$A$4:$A$51,0))</f>
        <v>1.2585029337895188</v>
      </c>
      <c r="E39" s="236">
        <f t="shared" si="25"/>
        <v>5.3170222384328483</v>
      </c>
      <c r="F39" s="236">
        <f t="shared" ref="F39:L39" si="27">E39</f>
        <v>5.3170222384328483</v>
      </c>
      <c r="G39" s="236">
        <f t="shared" si="27"/>
        <v>5.3170222384328483</v>
      </c>
      <c r="H39" s="236">
        <f t="shared" si="27"/>
        <v>5.3170222384328483</v>
      </c>
      <c r="I39" s="236">
        <f t="shared" si="27"/>
        <v>5.3170222384328483</v>
      </c>
      <c r="J39" s="236">
        <f t="shared" si="27"/>
        <v>5.3170222384328483</v>
      </c>
      <c r="K39" s="236">
        <f t="shared" si="27"/>
        <v>5.3170222384328483</v>
      </c>
      <c r="L39" s="236">
        <f t="shared" si="27"/>
        <v>5.3170222384328483</v>
      </c>
      <c r="M39" s="236">
        <f t="shared" si="17"/>
        <v>5.3170222384328483</v>
      </c>
      <c r="N39" s="236">
        <f t="shared" si="18"/>
        <v>5.3170222384328483</v>
      </c>
      <c r="O39" s="236">
        <f t="shared" si="19"/>
        <v>5.3170222384328483</v>
      </c>
      <c r="P39" s="236">
        <f t="shared" si="20"/>
        <v>5.3170222384328483</v>
      </c>
      <c r="Q39" s="236">
        <f t="shared" si="21"/>
        <v>5.3170222384328483</v>
      </c>
      <c r="R39" s="236">
        <f t="shared" si="22"/>
        <v>5.3170222384328483</v>
      </c>
      <c r="S39" s="236">
        <f t="shared" si="23"/>
        <v>0</v>
      </c>
      <c r="T39" s="236">
        <f t="shared" si="24"/>
        <v>0</v>
      </c>
    </row>
    <row r="40" spans="1:20" x14ac:dyDescent="0.25">
      <c r="A40" s="220" t="s">
        <v>831</v>
      </c>
      <c r="B40" s="220">
        <f>VLOOKUP($A40,ITEMS_Tech_E!$B$7:$E$82,2,FALSE)</f>
        <v>1</v>
      </c>
      <c r="C40" s="397">
        <f>INDEX('EFF-E_ANTC'!$C$4:$C$47,MATCH($A40,'EFF-E_ANTC'!$A$4:$A$47,0))</f>
        <v>12.071081999041946</v>
      </c>
      <c r="D40" s="397">
        <f>INDEX(FNRG_ANTC!$I$4:$I$51,MATCH($A40,FNRG_ANTC!$A$4:$A$51,0))</f>
        <v>1.8080801105995357</v>
      </c>
      <c r="E40" s="236">
        <f t="shared" si="25"/>
        <v>21.825483275883826</v>
      </c>
      <c r="F40" s="236">
        <f t="shared" ref="F40:L40" si="28">E40</f>
        <v>21.825483275883826</v>
      </c>
      <c r="G40" s="236">
        <f t="shared" si="28"/>
        <v>21.825483275883826</v>
      </c>
      <c r="H40" s="236">
        <f t="shared" si="28"/>
        <v>21.825483275883826</v>
      </c>
      <c r="I40" s="236">
        <f t="shared" si="28"/>
        <v>21.825483275883826</v>
      </c>
      <c r="J40" s="236">
        <f t="shared" si="28"/>
        <v>21.825483275883826</v>
      </c>
      <c r="K40" s="236">
        <f t="shared" si="28"/>
        <v>21.825483275883826</v>
      </c>
      <c r="L40" s="236">
        <f t="shared" si="28"/>
        <v>21.825483275883826</v>
      </c>
      <c r="M40" s="236">
        <f t="shared" si="17"/>
        <v>21.825483275883826</v>
      </c>
      <c r="N40" s="236">
        <f t="shared" si="18"/>
        <v>21.825483275883826</v>
      </c>
      <c r="O40" s="236">
        <f t="shared" si="19"/>
        <v>21.825483275883826</v>
      </c>
      <c r="P40" s="236">
        <f t="shared" si="20"/>
        <v>21.825483275883826</v>
      </c>
      <c r="Q40" s="236">
        <f t="shared" si="21"/>
        <v>21.825483275883826</v>
      </c>
      <c r="R40" s="236">
        <f t="shared" si="22"/>
        <v>21.825483275883826</v>
      </c>
      <c r="S40" s="373">
        <f>R40</f>
        <v>21.825483275883826</v>
      </c>
      <c r="T40" s="373">
        <f>S40</f>
        <v>21.825483275883826</v>
      </c>
    </row>
    <row r="41" spans="1:20" x14ac:dyDescent="0.25">
      <c r="A41" s="220" t="s">
        <v>833</v>
      </c>
      <c r="B41" s="220">
        <f>VLOOKUP($A41,ITEMS_Tech_E!$B$7:$E$82,2,FALSE)</f>
        <v>1</v>
      </c>
      <c r="C41" s="397">
        <f>INDEX('EFF-E_ANTC'!$C$4:$C$47,MATCH($A41,'EFF-E_ANTC'!$A$4:$A$47,0))</f>
        <v>6.545125793438701</v>
      </c>
      <c r="D41" s="397">
        <f>INDEX(FNRG_ANTC!$I$4:$I$51,MATCH($A41,FNRG_ANTC!$A$4:$A$51,0))</f>
        <v>2.6539370035224303</v>
      </c>
      <c r="E41" s="236">
        <f t="shared" si="25"/>
        <v>17.370351535916075</v>
      </c>
      <c r="F41" s="236">
        <f t="shared" ref="F41:L41" si="29">E41</f>
        <v>17.370351535916075</v>
      </c>
      <c r="G41" s="236">
        <f t="shared" si="29"/>
        <v>17.370351535916075</v>
      </c>
      <c r="H41" s="236">
        <f t="shared" si="29"/>
        <v>17.370351535916075</v>
      </c>
      <c r="I41" s="236">
        <f t="shared" si="29"/>
        <v>17.370351535916075</v>
      </c>
      <c r="J41" s="236">
        <f t="shared" si="29"/>
        <v>17.370351535916075</v>
      </c>
      <c r="K41" s="236">
        <f t="shared" si="29"/>
        <v>17.370351535916075</v>
      </c>
      <c r="L41" s="236">
        <f t="shared" si="29"/>
        <v>17.370351535916075</v>
      </c>
      <c r="M41" s="236">
        <f t="shared" si="17"/>
        <v>17.370351535916075</v>
      </c>
      <c r="N41" s="236">
        <f t="shared" si="18"/>
        <v>17.370351535916075</v>
      </c>
      <c r="O41" s="236">
        <f t="shared" si="19"/>
        <v>17.370351535916075</v>
      </c>
      <c r="P41" s="236">
        <f t="shared" si="20"/>
        <v>17.370351535916075</v>
      </c>
      <c r="Q41" s="236">
        <f t="shared" si="21"/>
        <v>17.370351535916075</v>
      </c>
      <c r="R41" s="236">
        <f t="shared" si="22"/>
        <v>17.370351535916075</v>
      </c>
      <c r="S41" s="236">
        <f t="shared" si="23"/>
        <v>0</v>
      </c>
      <c r="T41" s="236">
        <f t="shared" si="24"/>
        <v>0</v>
      </c>
    </row>
    <row r="42" spans="1:20" x14ac:dyDescent="0.25">
      <c r="A42" s="220" t="s">
        <v>835</v>
      </c>
      <c r="B42" s="220">
        <f>VLOOKUP($A42,ITEMS_Tech_E!$B$7:$E$82,2,FALSE)</f>
        <v>1</v>
      </c>
      <c r="C42" s="397">
        <f>INDEX('EFF-E_ANTC'!$C$4:$C$47,MATCH($A42,'EFF-E_ANTC'!$A$4:$A$47,0))</f>
        <v>18.700359409824859</v>
      </c>
      <c r="D42" s="397">
        <f>INDEX(FNRG_ANTC!$I$4:$I$51,MATCH($A42,FNRG_ANTC!$A$4:$A$51,0))</f>
        <v>3.8128879814399999</v>
      </c>
      <c r="E42" s="236">
        <f t="shared" si="25"/>
        <v>71.302375642329608</v>
      </c>
      <c r="F42" s="236">
        <f t="shared" ref="F42:L42" si="30">E42</f>
        <v>71.302375642329608</v>
      </c>
      <c r="G42" s="236">
        <f t="shared" si="30"/>
        <v>71.302375642329608</v>
      </c>
      <c r="H42" s="236">
        <f t="shared" si="30"/>
        <v>71.302375642329608</v>
      </c>
      <c r="I42" s="236">
        <f t="shared" si="30"/>
        <v>71.302375642329608</v>
      </c>
      <c r="J42" s="236">
        <f t="shared" si="30"/>
        <v>71.302375642329608</v>
      </c>
      <c r="K42" s="236">
        <f t="shared" si="30"/>
        <v>71.302375642329608</v>
      </c>
      <c r="L42" s="236">
        <f t="shared" si="30"/>
        <v>71.302375642329608</v>
      </c>
      <c r="M42" s="236">
        <f t="shared" si="17"/>
        <v>71.302375642329608</v>
      </c>
      <c r="N42" s="236">
        <f t="shared" si="18"/>
        <v>71.302375642329608</v>
      </c>
      <c r="O42" s="236">
        <f t="shared" si="19"/>
        <v>71.302375642329608</v>
      </c>
      <c r="P42" s="236">
        <f t="shared" si="20"/>
        <v>71.302375642329608</v>
      </c>
      <c r="Q42" s="236">
        <f t="shared" si="21"/>
        <v>71.302375642329608</v>
      </c>
      <c r="R42" s="236">
        <f t="shared" si="22"/>
        <v>71.302375642329608</v>
      </c>
      <c r="S42" s="373">
        <f>R42</f>
        <v>71.302375642329608</v>
      </c>
      <c r="T42" s="373">
        <f>S42</f>
        <v>71.302375642329608</v>
      </c>
    </row>
    <row r="43" spans="1:20" x14ac:dyDescent="0.25">
      <c r="A43" s="220" t="s">
        <v>837</v>
      </c>
      <c r="B43" s="220">
        <f>VLOOKUP($A43,ITEMS_Tech_E!$B$7:$E$82,2,FALSE)</f>
        <v>1</v>
      </c>
      <c r="C43" s="397">
        <f>INDEX('EFF-E_ANTC'!$C$4:$C$47,MATCH($A43,'EFF-E_ANTC'!$A$4:$A$47,0))</f>
        <v>1</v>
      </c>
      <c r="D43" s="397">
        <f>INDEX(FNRG_ANTC!$I$4:$I$51,MATCH($A43,FNRG_ANTC!$A$4:$A$51,0))</f>
        <v>1.641128256</v>
      </c>
      <c r="E43" s="236">
        <f t="shared" si="25"/>
        <v>1.641128256</v>
      </c>
      <c r="F43" s="236">
        <f t="shared" ref="F43:L43" si="31">E43</f>
        <v>1.641128256</v>
      </c>
      <c r="G43" s="236">
        <f t="shared" si="31"/>
        <v>1.641128256</v>
      </c>
      <c r="H43" s="236">
        <f t="shared" si="31"/>
        <v>1.641128256</v>
      </c>
      <c r="I43" s="236">
        <f t="shared" si="31"/>
        <v>1.641128256</v>
      </c>
      <c r="J43" s="236">
        <f t="shared" si="31"/>
        <v>1.641128256</v>
      </c>
      <c r="K43" s="236">
        <f t="shared" si="31"/>
        <v>1.641128256</v>
      </c>
      <c r="L43" s="236">
        <f t="shared" si="31"/>
        <v>1.641128256</v>
      </c>
      <c r="M43" s="236">
        <f t="shared" si="17"/>
        <v>1.641128256</v>
      </c>
      <c r="N43" s="236">
        <f t="shared" si="18"/>
        <v>1.641128256</v>
      </c>
      <c r="O43" s="236">
        <f t="shared" si="19"/>
        <v>1.641128256</v>
      </c>
      <c r="P43" s="236">
        <f t="shared" si="20"/>
        <v>1.641128256</v>
      </c>
      <c r="Q43" s="236">
        <f t="shared" si="21"/>
        <v>1.641128256</v>
      </c>
      <c r="R43" s="236">
        <f t="shared" si="22"/>
        <v>1.641128256</v>
      </c>
      <c r="S43" s="373">
        <f>R43</f>
        <v>1.641128256</v>
      </c>
      <c r="T43" s="373">
        <f>S43</f>
        <v>1.641128256</v>
      </c>
    </row>
    <row r="44" spans="1:20" x14ac:dyDescent="0.25">
      <c r="A44" s="220" t="s">
        <v>840</v>
      </c>
      <c r="B44" s="220">
        <f>VLOOKUP($A44,ITEMS_Tech_E!$B$7:$E$82,2,FALSE)</f>
        <v>1</v>
      </c>
      <c r="C44" s="397">
        <f>INDEX('EFF-E_ANTC'!$C$4:$C$47,MATCH($A44,'EFF-E_ANTC'!$A$4:$A$47,0))</f>
        <v>1</v>
      </c>
      <c r="D44" s="397">
        <f>INDEX(FNRG_ANTC!$I$4:$I$51,MATCH($A44,FNRG_ANTC!$A$4:$A$51,0))</f>
        <v>68.938999999999993</v>
      </c>
      <c r="E44" s="236">
        <f t="shared" si="25"/>
        <v>68.938999999999993</v>
      </c>
      <c r="F44" s="236">
        <f t="shared" ref="F44:L44" si="32">E44</f>
        <v>68.938999999999993</v>
      </c>
      <c r="G44" s="236">
        <f t="shared" si="32"/>
        <v>68.938999999999993</v>
      </c>
      <c r="H44" s="236">
        <f t="shared" si="32"/>
        <v>68.938999999999993</v>
      </c>
      <c r="I44" s="236">
        <f t="shared" si="32"/>
        <v>68.938999999999993</v>
      </c>
      <c r="J44" s="236">
        <f t="shared" si="32"/>
        <v>68.938999999999993</v>
      </c>
      <c r="K44" s="236">
        <f t="shared" si="32"/>
        <v>68.938999999999993</v>
      </c>
      <c r="L44" s="236">
        <f t="shared" si="32"/>
        <v>68.938999999999993</v>
      </c>
      <c r="M44" s="236">
        <f t="shared" si="17"/>
        <v>68.938999999999993</v>
      </c>
      <c r="N44" s="236">
        <f t="shared" si="18"/>
        <v>68.938999999999993</v>
      </c>
      <c r="O44" s="236">
        <f t="shared" si="19"/>
        <v>68.938999999999993</v>
      </c>
      <c r="P44" s="236">
        <f t="shared" si="20"/>
        <v>68.938999999999993</v>
      </c>
      <c r="Q44" s="236">
        <f t="shared" si="21"/>
        <v>68.938999999999993</v>
      </c>
      <c r="R44" s="236">
        <f t="shared" si="22"/>
        <v>68.938999999999993</v>
      </c>
      <c r="S44" s="236">
        <f t="shared" si="23"/>
        <v>0</v>
      </c>
      <c r="T44" s="236">
        <f t="shared" si="24"/>
        <v>0</v>
      </c>
    </row>
    <row r="45" spans="1:20" x14ac:dyDescent="0.25">
      <c r="A45" s="220" t="s">
        <v>842</v>
      </c>
      <c r="B45" s="220">
        <f>VLOOKUP($A45,ITEMS_Tech_E!$B$7:$E$82,2,FALSE)</f>
        <v>1</v>
      </c>
      <c r="C45" s="397">
        <f>INDEX('EFF-E_ANTC'!$C$4:$C$47,MATCH($A45,'EFF-E_ANTC'!$A$4:$A$47,0))</f>
        <v>1</v>
      </c>
      <c r="D45" s="397">
        <f>INDEX(FNRG_ANTC!$I$4:$I$51,MATCH($A45,FNRG_ANTC!$A$4:$A$51,0))</f>
        <v>20.483000000000001</v>
      </c>
      <c r="E45" s="236">
        <f t="shared" si="25"/>
        <v>20.483000000000001</v>
      </c>
      <c r="F45" s="236">
        <f t="shared" ref="F45:L45" si="33">E45</f>
        <v>20.483000000000001</v>
      </c>
      <c r="G45" s="236">
        <f t="shared" si="33"/>
        <v>20.483000000000001</v>
      </c>
      <c r="H45" s="236">
        <f t="shared" si="33"/>
        <v>20.483000000000001</v>
      </c>
      <c r="I45" s="236">
        <f t="shared" si="33"/>
        <v>20.483000000000001</v>
      </c>
      <c r="J45" s="236">
        <f t="shared" si="33"/>
        <v>20.483000000000001</v>
      </c>
      <c r="K45" s="236">
        <f t="shared" si="33"/>
        <v>20.483000000000001</v>
      </c>
      <c r="L45" s="236">
        <f t="shared" si="33"/>
        <v>20.483000000000001</v>
      </c>
      <c r="M45" s="236">
        <f t="shared" si="17"/>
        <v>20.483000000000001</v>
      </c>
      <c r="N45" s="236">
        <f t="shared" si="18"/>
        <v>20.483000000000001</v>
      </c>
      <c r="O45" s="236">
        <f t="shared" si="19"/>
        <v>20.483000000000001</v>
      </c>
      <c r="P45" s="236">
        <f t="shared" si="20"/>
        <v>20.483000000000001</v>
      </c>
      <c r="Q45" s="236">
        <f t="shared" si="21"/>
        <v>20.483000000000001</v>
      </c>
      <c r="R45" s="236">
        <f t="shared" si="22"/>
        <v>20.483000000000001</v>
      </c>
      <c r="S45" s="236">
        <f t="shared" si="23"/>
        <v>0</v>
      </c>
      <c r="T45" s="236">
        <f t="shared" si="24"/>
        <v>0</v>
      </c>
    </row>
    <row r="46" spans="1:20" x14ac:dyDescent="0.25">
      <c r="A46" s="220" t="s">
        <v>844</v>
      </c>
      <c r="B46" s="220">
        <f>VLOOKUP($A46,ITEMS_Tech_E!$B$7:$E$82,2,FALSE)</f>
        <v>1</v>
      </c>
      <c r="C46" s="397">
        <f>INDEX('EFF-E_ANTC'!$C$4:$C$47,MATCH($A46,'EFF-E_ANTC'!$A$4:$A$47,0))</f>
        <v>1</v>
      </c>
      <c r="D46" s="397">
        <f>INDEX(FNRG_ANTC!$I$4:$I$51,MATCH($A46,FNRG_ANTC!$A$4:$A$51,0))</f>
        <v>0.82200000000000006</v>
      </c>
      <c r="E46" s="236">
        <f t="shared" si="25"/>
        <v>0.82200000000000006</v>
      </c>
      <c r="F46" s="236">
        <f t="shared" ref="F46:L46" si="34">E46</f>
        <v>0.82200000000000006</v>
      </c>
      <c r="G46" s="236">
        <f t="shared" si="34"/>
        <v>0.82200000000000006</v>
      </c>
      <c r="H46" s="236">
        <f t="shared" si="34"/>
        <v>0.82200000000000006</v>
      </c>
      <c r="I46" s="236">
        <f t="shared" si="34"/>
        <v>0.82200000000000006</v>
      </c>
      <c r="J46" s="236">
        <f t="shared" si="34"/>
        <v>0.82200000000000006</v>
      </c>
      <c r="K46" s="236">
        <f t="shared" si="34"/>
        <v>0.82200000000000006</v>
      </c>
      <c r="L46" s="236">
        <f t="shared" si="34"/>
        <v>0.82200000000000006</v>
      </c>
      <c r="M46" s="236">
        <f t="shared" si="17"/>
        <v>0.82200000000000006</v>
      </c>
      <c r="N46" s="236">
        <f t="shared" si="18"/>
        <v>0.82200000000000006</v>
      </c>
      <c r="O46" s="236">
        <f t="shared" si="19"/>
        <v>0.82200000000000006</v>
      </c>
      <c r="P46" s="236">
        <f t="shared" si="20"/>
        <v>0.82200000000000006</v>
      </c>
      <c r="Q46" s="236">
        <f t="shared" si="21"/>
        <v>0.82200000000000006</v>
      </c>
      <c r="R46" s="236">
        <f t="shared" si="22"/>
        <v>0.82200000000000006</v>
      </c>
      <c r="S46" s="236">
        <f t="shared" si="23"/>
        <v>0</v>
      </c>
      <c r="T46" s="236">
        <f t="shared" si="24"/>
        <v>0</v>
      </c>
    </row>
    <row r="47" spans="1:20" x14ac:dyDescent="0.25">
      <c r="A47" s="220" t="s">
        <v>846</v>
      </c>
      <c r="B47" s="220">
        <f>VLOOKUP($A47,ITEMS_Tech_E!$B$7:$E$82,2,FALSE)</f>
        <v>1</v>
      </c>
      <c r="C47" s="397">
        <f>INDEX('EFF-E_ANTC'!$C$4:$C$47,MATCH($A47,'EFF-E_ANTC'!$A$4:$A$47,0))</f>
        <v>1</v>
      </c>
      <c r="D47" s="397">
        <f>INDEX(FNRG_ANTC!$I$4:$I$51,MATCH($A47,FNRG_ANTC!$A$4:$A$51,0))</f>
        <v>2.77</v>
      </c>
      <c r="E47" s="236">
        <f t="shared" si="25"/>
        <v>2.77</v>
      </c>
      <c r="F47" s="236">
        <f t="shared" ref="F47:L47" si="35">E47</f>
        <v>2.77</v>
      </c>
      <c r="G47" s="236">
        <f t="shared" si="35"/>
        <v>2.77</v>
      </c>
      <c r="H47" s="236">
        <f t="shared" si="35"/>
        <v>2.77</v>
      </c>
      <c r="I47" s="236">
        <f t="shared" si="35"/>
        <v>2.77</v>
      </c>
      <c r="J47" s="236">
        <f t="shared" si="35"/>
        <v>2.77</v>
      </c>
      <c r="K47" s="236">
        <f t="shared" si="35"/>
        <v>2.77</v>
      </c>
      <c r="L47" s="236">
        <f t="shared" si="35"/>
        <v>2.77</v>
      </c>
      <c r="M47" s="236">
        <f t="shared" si="17"/>
        <v>2.77</v>
      </c>
      <c r="N47" s="236">
        <f t="shared" si="18"/>
        <v>2.77</v>
      </c>
      <c r="O47" s="236">
        <f t="shared" si="19"/>
        <v>2.77</v>
      </c>
      <c r="P47" s="236">
        <f t="shared" si="20"/>
        <v>2.77</v>
      </c>
      <c r="Q47" s="236">
        <f t="shared" si="21"/>
        <v>2.77</v>
      </c>
      <c r="R47" s="236">
        <f t="shared" si="22"/>
        <v>2.77</v>
      </c>
      <c r="S47" s="236">
        <f t="shared" si="23"/>
        <v>0</v>
      </c>
      <c r="T47" s="236">
        <f t="shared" si="24"/>
        <v>0</v>
      </c>
    </row>
    <row r="48" spans="1:20" x14ac:dyDescent="0.25">
      <c r="A48" s="220"/>
      <c r="B48" s="220"/>
      <c r="C48" s="220"/>
      <c r="D48" s="220"/>
      <c r="E48" s="236"/>
      <c r="F48" s="236"/>
      <c r="G48" s="236"/>
      <c r="H48" s="236"/>
      <c r="I48" s="236"/>
      <c r="J48" s="236"/>
      <c r="K48" s="236"/>
      <c r="L48" s="236"/>
      <c r="M48" s="236"/>
      <c r="N48" s="236"/>
      <c r="O48" s="236"/>
      <c r="P48" s="236"/>
      <c r="Q48" s="236"/>
      <c r="R48" s="236"/>
      <c r="S48" s="236"/>
      <c r="T48" s="236"/>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7FE493-F47A-41A8-AECD-622CCA419C99}">
  <sheetPr>
    <tabColor theme="7" tint="0.59999389629810485"/>
  </sheetPr>
  <dimension ref="A1:L51"/>
  <sheetViews>
    <sheetView workbookViewId="0"/>
  </sheetViews>
  <sheetFormatPr defaultRowHeight="15" x14ac:dyDescent="0.25"/>
  <cols>
    <col min="1" max="1" width="15.5703125" customWidth="1"/>
    <col min="2" max="2" width="19.42578125" bestFit="1" customWidth="1"/>
    <col min="3" max="3" width="17.5703125" bestFit="1" customWidth="1"/>
    <col min="4" max="5" width="17.5703125" customWidth="1"/>
    <col min="6" max="6" width="12.85546875" customWidth="1"/>
    <col min="10" max="10" width="24.140625" customWidth="1"/>
    <col min="11" max="11" width="18.42578125" customWidth="1"/>
  </cols>
  <sheetData>
    <row r="1" spans="1:12" ht="18" thickBot="1" x14ac:dyDescent="0.35">
      <c r="A1" s="1" t="s">
        <v>1106</v>
      </c>
    </row>
    <row r="2" spans="1:12" ht="15.75" thickTop="1" x14ac:dyDescent="0.25"/>
    <row r="3" spans="1:12" ht="15.75" thickBot="1" x14ac:dyDescent="0.3">
      <c r="A3" s="2" t="s">
        <v>1</v>
      </c>
      <c r="B3" s="2" t="s">
        <v>495</v>
      </c>
      <c r="C3" s="2" t="s">
        <v>496</v>
      </c>
      <c r="D3" s="2" t="s">
        <v>415</v>
      </c>
      <c r="E3" s="2" t="s">
        <v>417</v>
      </c>
      <c r="F3" s="2" t="s">
        <v>497</v>
      </c>
      <c r="G3" s="2" t="s">
        <v>498</v>
      </c>
      <c r="H3" s="2" t="s">
        <v>499</v>
      </c>
      <c r="I3" s="2" t="s">
        <v>500</v>
      </c>
      <c r="J3" s="2" t="s">
        <v>501</v>
      </c>
      <c r="K3" s="2" t="s">
        <v>502</v>
      </c>
    </row>
    <row r="4" spans="1:12" x14ac:dyDescent="0.25">
      <c r="A4" s="220" t="s">
        <v>468</v>
      </c>
      <c r="B4" s="220" t="s">
        <v>457</v>
      </c>
      <c r="C4" s="220" t="s">
        <v>236</v>
      </c>
      <c r="D4" s="221" t="s">
        <v>411</v>
      </c>
      <c r="E4" s="221" t="s">
        <v>235</v>
      </c>
      <c r="F4" s="220" t="s">
        <v>494</v>
      </c>
      <c r="G4" s="234">
        <v>2017</v>
      </c>
      <c r="H4" s="234" t="s">
        <v>178</v>
      </c>
      <c r="I4" s="391">
        <f>Analytica!AN17</f>
        <v>9.9920000000000009</v>
      </c>
      <c r="J4" s="220" t="s">
        <v>492</v>
      </c>
      <c r="K4" s="222" t="s">
        <v>493</v>
      </c>
      <c r="L4" t="s">
        <v>87</v>
      </c>
    </row>
    <row r="5" spans="1:12" x14ac:dyDescent="0.25">
      <c r="A5" s="220" t="s">
        <v>469</v>
      </c>
      <c r="B5" s="220" t="s">
        <v>458</v>
      </c>
      <c r="C5" s="220" t="s">
        <v>239</v>
      </c>
      <c r="D5" s="221" t="s">
        <v>411</v>
      </c>
      <c r="E5" s="221" t="s">
        <v>238</v>
      </c>
      <c r="F5" s="220" t="s">
        <v>494</v>
      </c>
      <c r="G5" s="234">
        <v>2017</v>
      </c>
      <c r="H5" s="234" t="s">
        <v>178</v>
      </c>
      <c r="I5" s="391">
        <f>Analytica!AN18</f>
        <v>19.53</v>
      </c>
      <c r="J5" s="220" t="s">
        <v>492</v>
      </c>
      <c r="K5" s="222" t="s">
        <v>493</v>
      </c>
      <c r="L5" t="s">
        <v>87</v>
      </c>
    </row>
    <row r="6" spans="1:12" x14ac:dyDescent="0.25">
      <c r="A6" s="220" t="s">
        <v>470</v>
      </c>
      <c r="B6" s="220" t="s">
        <v>459</v>
      </c>
      <c r="C6" s="220" t="s">
        <v>242</v>
      </c>
      <c r="D6" s="221" t="s">
        <v>413</v>
      </c>
      <c r="E6" s="221" t="s">
        <v>238</v>
      </c>
      <c r="F6" s="220" t="s">
        <v>494</v>
      </c>
      <c r="G6" s="234">
        <v>2017</v>
      </c>
      <c r="H6" s="234" t="s">
        <v>178</v>
      </c>
      <c r="I6" s="391">
        <f>Analytica!AN19</f>
        <v>209.00360617320999</v>
      </c>
      <c r="J6" s="220" t="s">
        <v>492</v>
      </c>
      <c r="K6" s="222" t="s">
        <v>493</v>
      </c>
      <c r="L6" t="s">
        <v>87</v>
      </c>
    </row>
    <row r="7" spans="1:12" x14ac:dyDescent="0.25">
      <c r="A7" s="220" t="s">
        <v>471</v>
      </c>
      <c r="B7" s="220" t="s">
        <v>458</v>
      </c>
      <c r="C7" s="220" t="s">
        <v>244</v>
      </c>
      <c r="D7" s="221" t="s">
        <v>411</v>
      </c>
      <c r="E7" s="221" t="s">
        <v>238</v>
      </c>
      <c r="F7" s="220" t="s">
        <v>494</v>
      </c>
      <c r="G7" s="234">
        <v>2017</v>
      </c>
      <c r="H7" s="234" t="s">
        <v>178</v>
      </c>
      <c r="I7" s="391">
        <f>Analytica!AN20</f>
        <v>0</v>
      </c>
      <c r="J7" s="220" t="s">
        <v>492</v>
      </c>
      <c r="K7" s="222" t="s">
        <v>493</v>
      </c>
      <c r="L7" t="s">
        <v>87</v>
      </c>
    </row>
    <row r="8" spans="1:12" x14ac:dyDescent="0.25">
      <c r="A8" s="220" t="s">
        <v>472</v>
      </c>
      <c r="B8" s="220" t="s">
        <v>459</v>
      </c>
      <c r="C8" s="220" t="s">
        <v>246</v>
      </c>
      <c r="D8" s="221" t="s">
        <v>413</v>
      </c>
      <c r="E8" s="221" t="s">
        <v>238</v>
      </c>
      <c r="F8" s="220" t="s">
        <v>494</v>
      </c>
      <c r="G8" s="234">
        <v>2017</v>
      </c>
      <c r="H8" s="234" t="s">
        <v>178</v>
      </c>
      <c r="I8" s="391">
        <f>Analytica!AN21</f>
        <v>0.14199999999999999</v>
      </c>
      <c r="J8" s="220" t="s">
        <v>492</v>
      </c>
      <c r="K8" s="222" t="s">
        <v>493</v>
      </c>
      <c r="L8" t="s">
        <v>87</v>
      </c>
    </row>
    <row r="9" spans="1:12" x14ac:dyDescent="0.25">
      <c r="A9" s="220" t="s">
        <v>473</v>
      </c>
      <c r="B9" s="220" t="s">
        <v>460</v>
      </c>
      <c r="C9" s="220" t="s">
        <v>251</v>
      </c>
      <c r="D9" s="221" t="s">
        <v>412</v>
      </c>
      <c r="E9" s="221" t="s">
        <v>238</v>
      </c>
      <c r="F9" s="220" t="s">
        <v>494</v>
      </c>
      <c r="G9" s="234">
        <v>2017</v>
      </c>
      <c r="H9" s="234" t="s">
        <v>178</v>
      </c>
      <c r="I9" s="391">
        <f>Analytica!AN22</f>
        <v>4.3920000000000001E-3</v>
      </c>
      <c r="J9" s="220" t="s">
        <v>492</v>
      </c>
      <c r="K9" s="222" t="s">
        <v>493</v>
      </c>
      <c r="L9" t="s">
        <v>87</v>
      </c>
    </row>
    <row r="10" spans="1:12" x14ac:dyDescent="0.25">
      <c r="A10" s="220" t="s">
        <v>474</v>
      </c>
      <c r="B10" s="220" t="s">
        <v>788</v>
      </c>
      <c r="C10" s="220" t="s">
        <v>254</v>
      </c>
      <c r="D10" s="221" t="s">
        <v>411</v>
      </c>
      <c r="E10" s="221" t="s">
        <v>253</v>
      </c>
      <c r="F10" s="220" t="s">
        <v>494</v>
      </c>
      <c r="G10" s="234">
        <v>2017</v>
      </c>
      <c r="H10" s="234" t="s">
        <v>178</v>
      </c>
      <c r="I10" s="391">
        <f>Analytica!AN23</f>
        <v>21.25</v>
      </c>
      <c r="J10" s="220" t="s">
        <v>492</v>
      </c>
      <c r="K10" s="222" t="s">
        <v>493</v>
      </c>
      <c r="L10" t="s">
        <v>87</v>
      </c>
    </row>
    <row r="11" spans="1:12" x14ac:dyDescent="0.25">
      <c r="A11" s="220" t="s">
        <v>475</v>
      </c>
      <c r="B11" s="220" t="s">
        <v>789</v>
      </c>
      <c r="C11" s="220" t="s">
        <v>257</v>
      </c>
      <c r="D11" s="221" t="s">
        <v>413</v>
      </c>
      <c r="E11" s="221" t="s">
        <v>253</v>
      </c>
      <c r="F11" s="220" t="s">
        <v>494</v>
      </c>
      <c r="G11" s="234">
        <v>2017</v>
      </c>
      <c r="H11" s="234" t="s">
        <v>178</v>
      </c>
      <c r="I11" s="391">
        <f>Analytica!AN24</f>
        <v>0.21590000000000001</v>
      </c>
      <c r="J11" s="220" t="s">
        <v>492</v>
      </c>
      <c r="K11" s="222" t="s">
        <v>493</v>
      </c>
      <c r="L11" t="s">
        <v>87</v>
      </c>
    </row>
    <row r="12" spans="1:12" x14ac:dyDescent="0.25">
      <c r="A12" s="220" t="s">
        <v>476</v>
      </c>
      <c r="B12" s="220" t="s">
        <v>790</v>
      </c>
      <c r="C12" s="220" t="s">
        <v>260</v>
      </c>
      <c r="D12" s="221" t="s">
        <v>411</v>
      </c>
      <c r="E12" s="221" t="s">
        <v>259</v>
      </c>
      <c r="F12" s="220" t="s">
        <v>494</v>
      </c>
      <c r="G12" s="234">
        <v>2017</v>
      </c>
      <c r="H12" s="234" t="s">
        <v>178</v>
      </c>
      <c r="I12" s="391">
        <f>Analytica!AN25</f>
        <v>7.3520000000000003</v>
      </c>
      <c r="J12" s="220" t="s">
        <v>492</v>
      </c>
      <c r="K12" s="222" t="s">
        <v>493</v>
      </c>
      <c r="L12" t="s">
        <v>87</v>
      </c>
    </row>
    <row r="13" spans="1:12" x14ac:dyDescent="0.25">
      <c r="A13" s="220" t="s">
        <v>477</v>
      </c>
      <c r="B13" s="220" t="s">
        <v>791</v>
      </c>
      <c r="C13" s="220" t="s">
        <v>262</v>
      </c>
      <c r="D13" s="221" t="s">
        <v>411</v>
      </c>
      <c r="E13" s="221" t="s">
        <v>261</v>
      </c>
      <c r="F13" s="220" t="s">
        <v>494</v>
      </c>
      <c r="G13" s="234">
        <v>2017</v>
      </c>
      <c r="H13" s="234" t="s">
        <v>178</v>
      </c>
      <c r="I13" s="391">
        <f>Analytica!AN26</f>
        <v>27.66</v>
      </c>
      <c r="J13" s="220" t="s">
        <v>492</v>
      </c>
      <c r="K13" s="222" t="s">
        <v>493</v>
      </c>
      <c r="L13" t="s">
        <v>87</v>
      </c>
    </row>
    <row r="14" spans="1:12" x14ac:dyDescent="0.25">
      <c r="A14" s="220" t="s">
        <v>478</v>
      </c>
      <c r="B14" s="220" t="s">
        <v>792</v>
      </c>
      <c r="C14" s="220" t="s">
        <v>264</v>
      </c>
      <c r="D14" s="221" t="s">
        <v>411</v>
      </c>
      <c r="E14" s="221" t="s">
        <v>263</v>
      </c>
      <c r="F14" s="220" t="s">
        <v>494</v>
      </c>
      <c r="G14" s="234">
        <v>2017</v>
      </c>
      <c r="H14" s="234" t="s">
        <v>178</v>
      </c>
      <c r="I14" s="391">
        <f>Analytica!AN27</f>
        <v>5.8369999999999997</v>
      </c>
      <c r="J14" s="220" t="s">
        <v>492</v>
      </c>
      <c r="K14" s="222" t="s">
        <v>493</v>
      </c>
      <c r="L14" t="s">
        <v>87</v>
      </c>
    </row>
    <row r="15" spans="1:12" x14ac:dyDescent="0.25">
      <c r="A15" s="220" t="s">
        <v>479</v>
      </c>
      <c r="B15" s="220" t="s">
        <v>793</v>
      </c>
      <c r="C15" s="220" t="s">
        <v>266</v>
      </c>
      <c r="D15" s="221" t="s">
        <v>411</v>
      </c>
      <c r="E15" s="221" t="s">
        <v>265</v>
      </c>
      <c r="F15" s="220" t="s">
        <v>494</v>
      </c>
      <c r="G15" s="234">
        <v>2017</v>
      </c>
      <c r="H15" s="234" t="s">
        <v>178</v>
      </c>
      <c r="I15" s="391">
        <f>Analytica!AN28</f>
        <v>3.1549999999999998</v>
      </c>
      <c r="J15" s="220" t="s">
        <v>492</v>
      </c>
      <c r="K15" s="222" t="s">
        <v>493</v>
      </c>
      <c r="L15" t="s">
        <v>87</v>
      </c>
    </row>
    <row r="16" spans="1:12" x14ac:dyDescent="0.25">
      <c r="A16" s="220" t="s">
        <v>480</v>
      </c>
      <c r="B16" s="220" t="s">
        <v>794</v>
      </c>
      <c r="C16" s="220" t="s">
        <v>268</v>
      </c>
      <c r="D16" s="221" t="s">
        <v>411</v>
      </c>
      <c r="E16" s="221" t="s">
        <v>267</v>
      </c>
      <c r="F16" s="220" t="s">
        <v>494</v>
      </c>
      <c r="G16" s="234">
        <v>2017</v>
      </c>
      <c r="H16" s="234" t="s">
        <v>178</v>
      </c>
      <c r="I16" s="391">
        <f>Analytica!AN29</f>
        <v>102.3</v>
      </c>
      <c r="J16" s="220" t="s">
        <v>492</v>
      </c>
      <c r="K16" s="222" t="s">
        <v>493</v>
      </c>
      <c r="L16" t="s">
        <v>87</v>
      </c>
    </row>
    <row r="17" spans="1:12" x14ac:dyDescent="0.25">
      <c r="A17" s="220" t="s">
        <v>481</v>
      </c>
      <c r="B17" s="220" t="s">
        <v>795</v>
      </c>
      <c r="C17" s="220" t="s">
        <v>271</v>
      </c>
      <c r="D17" s="221" t="s">
        <v>411</v>
      </c>
      <c r="E17" s="221" t="s">
        <v>270</v>
      </c>
      <c r="F17" s="220" t="s">
        <v>494</v>
      </c>
      <c r="G17" s="234">
        <v>2017</v>
      </c>
      <c r="H17" s="234" t="s">
        <v>178</v>
      </c>
      <c r="I17" s="391">
        <f>Analytica!AN30</f>
        <v>31.66</v>
      </c>
      <c r="J17" s="220" t="s">
        <v>492</v>
      </c>
      <c r="K17" s="222" t="s">
        <v>493</v>
      </c>
      <c r="L17" t="s">
        <v>87</v>
      </c>
    </row>
    <row r="18" spans="1:12" x14ac:dyDescent="0.25">
      <c r="A18" s="220" t="s">
        <v>482</v>
      </c>
      <c r="B18" s="220" t="s">
        <v>796</v>
      </c>
      <c r="C18" s="220" t="s">
        <v>273</v>
      </c>
      <c r="D18" s="221" t="s">
        <v>411</v>
      </c>
      <c r="E18" s="221" t="s">
        <v>272</v>
      </c>
      <c r="F18" s="220" t="s">
        <v>494</v>
      </c>
      <c r="G18" s="234">
        <v>2017</v>
      </c>
      <c r="H18" s="234" t="s">
        <v>178</v>
      </c>
      <c r="I18" s="391">
        <f>Analytica!AN31</f>
        <v>1.766</v>
      </c>
      <c r="J18" s="220" t="s">
        <v>492</v>
      </c>
      <c r="K18" s="222" t="s">
        <v>493</v>
      </c>
    </row>
    <row r="19" spans="1:12" x14ac:dyDescent="0.25">
      <c r="A19" s="220" t="s">
        <v>483</v>
      </c>
      <c r="B19" s="220" t="s">
        <v>797</v>
      </c>
      <c r="C19" s="220" t="s">
        <v>275</v>
      </c>
      <c r="D19" s="221" t="s">
        <v>411</v>
      </c>
      <c r="E19" s="221" t="s">
        <v>274</v>
      </c>
      <c r="F19" s="220" t="s">
        <v>494</v>
      </c>
      <c r="G19" s="234">
        <v>2017</v>
      </c>
      <c r="H19" s="234" t="s">
        <v>178</v>
      </c>
      <c r="I19" s="391">
        <f>Analytica!AN32</f>
        <v>0.54090000000000005</v>
      </c>
      <c r="J19" s="220" t="s">
        <v>492</v>
      </c>
      <c r="K19" s="222" t="s">
        <v>493</v>
      </c>
    </row>
    <row r="20" spans="1:12" x14ac:dyDescent="0.25">
      <c r="A20" s="220" t="s">
        <v>484</v>
      </c>
      <c r="B20" s="220" t="s">
        <v>798</v>
      </c>
      <c r="C20" s="220" t="s">
        <v>277</v>
      </c>
      <c r="D20" s="221" t="s">
        <v>411</v>
      </c>
      <c r="E20" s="221" t="s">
        <v>276</v>
      </c>
      <c r="F20" s="220" t="s">
        <v>494</v>
      </c>
      <c r="G20" s="234">
        <v>2017</v>
      </c>
      <c r="H20" s="234" t="s">
        <v>178</v>
      </c>
      <c r="I20" s="391">
        <f>Analytica!AN33</f>
        <v>119.2</v>
      </c>
      <c r="J20" s="220" t="s">
        <v>492</v>
      </c>
      <c r="K20" s="222" t="s">
        <v>493</v>
      </c>
    </row>
    <row r="21" spans="1:12" x14ac:dyDescent="0.25">
      <c r="A21" s="220" t="s">
        <v>485</v>
      </c>
      <c r="B21" s="220" t="s">
        <v>799</v>
      </c>
      <c r="C21" s="220" t="s">
        <v>278</v>
      </c>
      <c r="D21" s="221" t="s">
        <v>413</v>
      </c>
      <c r="E21" s="221" t="s">
        <v>276</v>
      </c>
      <c r="F21" s="220" t="s">
        <v>494</v>
      </c>
      <c r="G21" s="234">
        <v>2017</v>
      </c>
      <c r="H21" s="234" t="s">
        <v>178</v>
      </c>
      <c r="I21" s="391">
        <f>Analytica!AN34</f>
        <v>94.32</v>
      </c>
      <c r="J21" s="220" t="s">
        <v>492</v>
      </c>
      <c r="K21" s="222" t="s">
        <v>493</v>
      </c>
    </row>
    <row r="22" spans="1:12" x14ac:dyDescent="0.25">
      <c r="A22" s="220" t="s">
        <v>486</v>
      </c>
      <c r="B22" s="220" t="s">
        <v>461</v>
      </c>
      <c r="C22" s="220" t="s">
        <v>280</v>
      </c>
      <c r="D22" s="221" t="s">
        <v>411</v>
      </c>
      <c r="E22" s="221" t="s">
        <v>279</v>
      </c>
      <c r="F22" s="220" t="s">
        <v>494</v>
      </c>
      <c r="G22" s="234">
        <v>2017</v>
      </c>
      <c r="H22" s="234" t="s">
        <v>178</v>
      </c>
      <c r="I22" s="391">
        <f>Analytica!AN35</f>
        <v>9</v>
      </c>
      <c r="J22" s="220" t="s">
        <v>492</v>
      </c>
      <c r="K22" s="222" t="s">
        <v>493</v>
      </c>
    </row>
    <row r="23" spans="1:12" x14ac:dyDescent="0.25">
      <c r="A23" s="220" t="s">
        <v>487</v>
      </c>
      <c r="B23" s="220" t="s">
        <v>462</v>
      </c>
      <c r="C23" s="220" t="s">
        <v>281</v>
      </c>
      <c r="D23" s="221" t="s">
        <v>413</v>
      </c>
      <c r="E23" s="221" t="s">
        <v>279</v>
      </c>
      <c r="F23" s="220" t="s">
        <v>494</v>
      </c>
      <c r="G23" s="234">
        <v>2017</v>
      </c>
      <c r="H23" s="234" t="s">
        <v>178</v>
      </c>
      <c r="I23" s="391">
        <f>Analytica!AN36</f>
        <v>25.31</v>
      </c>
      <c r="J23" s="220" t="s">
        <v>492</v>
      </c>
      <c r="K23" s="222" t="s">
        <v>493</v>
      </c>
    </row>
    <row r="24" spans="1:12" x14ac:dyDescent="0.25">
      <c r="A24" s="220" t="s">
        <v>488</v>
      </c>
      <c r="B24" s="220" t="s">
        <v>463</v>
      </c>
      <c r="C24" s="220" t="s">
        <v>284</v>
      </c>
      <c r="D24" s="221" t="s">
        <v>411</v>
      </c>
      <c r="E24" s="221" t="s">
        <v>283</v>
      </c>
      <c r="F24" s="220" t="s">
        <v>494</v>
      </c>
      <c r="G24" s="234">
        <v>2017</v>
      </c>
      <c r="H24" s="234" t="s">
        <v>178</v>
      </c>
      <c r="I24" s="391">
        <f>Analytica!AN37</f>
        <v>36.78</v>
      </c>
      <c r="J24" s="220" t="s">
        <v>492</v>
      </c>
      <c r="K24" s="222" t="s">
        <v>493</v>
      </c>
    </row>
    <row r="25" spans="1:12" x14ac:dyDescent="0.25">
      <c r="A25" s="220" t="s">
        <v>489</v>
      </c>
      <c r="B25" s="220" t="s">
        <v>464</v>
      </c>
      <c r="C25" s="220" t="s">
        <v>285</v>
      </c>
      <c r="D25" s="221" t="s">
        <v>413</v>
      </c>
      <c r="E25" s="221" t="s">
        <v>283</v>
      </c>
      <c r="F25" s="220" t="s">
        <v>494</v>
      </c>
      <c r="G25" s="234">
        <v>2017</v>
      </c>
      <c r="H25" s="234" t="s">
        <v>178</v>
      </c>
      <c r="I25" s="391">
        <f>Analytica!AN38</f>
        <v>3.7229999999999999E-2</v>
      </c>
      <c r="J25" s="220" t="s">
        <v>492</v>
      </c>
      <c r="K25" s="222" t="s">
        <v>493</v>
      </c>
    </row>
    <row r="26" spans="1:12" x14ac:dyDescent="0.25">
      <c r="A26" s="220" t="s">
        <v>490</v>
      </c>
      <c r="B26" s="220" t="s">
        <v>464</v>
      </c>
      <c r="C26" s="220" t="s">
        <v>286</v>
      </c>
      <c r="D26" s="221" t="s">
        <v>413</v>
      </c>
      <c r="E26" s="221" t="s">
        <v>283</v>
      </c>
      <c r="F26" s="220" t="s">
        <v>494</v>
      </c>
      <c r="G26" s="234">
        <v>2017</v>
      </c>
      <c r="H26" s="234" t="s">
        <v>178</v>
      </c>
      <c r="I26" s="391">
        <f>Analytica!AN39</f>
        <v>42.48</v>
      </c>
      <c r="J26" s="220" t="s">
        <v>492</v>
      </c>
      <c r="K26" s="222" t="s">
        <v>493</v>
      </c>
    </row>
    <row r="27" spans="1:12" x14ac:dyDescent="0.25">
      <c r="A27" s="220" t="s">
        <v>491</v>
      </c>
      <c r="B27" s="220" t="s">
        <v>465</v>
      </c>
      <c r="C27" s="220" t="s">
        <v>287</v>
      </c>
      <c r="D27" s="221" t="s">
        <v>412</v>
      </c>
      <c r="E27" s="221" t="s">
        <v>283</v>
      </c>
      <c r="F27" s="220" t="s">
        <v>494</v>
      </c>
      <c r="G27" s="234">
        <v>2017</v>
      </c>
      <c r="H27" s="234" t="s">
        <v>178</v>
      </c>
      <c r="I27" s="391">
        <f>Analytica!AN40</f>
        <v>0</v>
      </c>
      <c r="J27" s="220" t="s">
        <v>492</v>
      </c>
      <c r="K27" s="222" t="s">
        <v>493</v>
      </c>
    </row>
    <row r="28" spans="1:12" x14ac:dyDescent="0.25">
      <c r="A28" s="220" t="s">
        <v>288</v>
      </c>
      <c r="B28" s="220" t="s">
        <v>466</v>
      </c>
      <c r="C28" s="220" t="s">
        <v>290</v>
      </c>
      <c r="D28" s="221" t="s">
        <v>413</v>
      </c>
      <c r="E28" s="221" t="s">
        <v>289</v>
      </c>
      <c r="F28" s="220" t="s">
        <v>494</v>
      </c>
      <c r="G28" s="234">
        <v>2017</v>
      </c>
      <c r="H28" s="234" t="s">
        <v>178</v>
      </c>
      <c r="I28" s="391">
        <f>Analytica!AN41</f>
        <v>10.127080654417099</v>
      </c>
      <c r="J28" s="220" t="s">
        <v>492</v>
      </c>
      <c r="K28" s="222" t="s">
        <v>493</v>
      </c>
    </row>
    <row r="29" spans="1:12" x14ac:dyDescent="0.25">
      <c r="A29" s="220" t="s">
        <v>291</v>
      </c>
      <c r="B29" s="220" t="s">
        <v>467</v>
      </c>
      <c r="C29" s="220" t="s">
        <v>292</v>
      </c>
      <c r="D29" s="221" t="s">
        <v>412</v>
      </c>
      <c r="E29" s="221" t="s">
        <v>426</v>
      </c>
      <c r="F29" s="220" t="s">
        <v>494</v>
      </c>
      <c r="G29" s="234">
        <v>2017</v>
      </c>
      <c r="H29" s="234" t="s">
        <v>178</v>
      </c>
      <c r="I29" s="391">
        <f>Analytica!AN42</f>
        <v>2.2562732159999994</v>
      </c>
      <c r="J29" s="220" t="s">
        <v>492</v>
      </c>
      <c r="K29" s="222" t="s">
        <v>493</v>
      </c>
    </row>
    <row r="30" spans="1:12" x14ac:dyDescent="0.25">
      <c r="A30" s="220" t="s">
        <v>558</v>
      </c>
      <c r="B30" s="220" t="s">
        <v>295</v>
      </c>
      <c r="C30" s="220" t="s">
        <v>295</v>
      </c>
      <c r="D30" s="221" t="s">
        <v>563</v>
      </c>
      <c r="E30" s="221" t="s">
        <v>283</v>
      </c>
      <c r="F30" s="220" t="s">
        <v>494</v>
      </c>
      <c r="G30" s="234">
        <v>2017</v>
      </c>
      <c r="H30" s="234" t="s">
        <v>178</v>
      </c>
      <c r="I30" s="391">
        <f>Analytica!AN43</f>
        <v>0</v>
      </c>
      <c r="J30" s="220" t="s">
        <v>492</v>
      </c>
      <c r="K30" s="222" t="s">
        <v>493</v>
      </c>
    </row>
    <row r="31" spans="1:12" x14ac:dyDescent="0.25">
      <c r="A31" s="220" t="s">
        <v>560</v>
      </c>
      <c r="B31" s="220" t="s">
        <v>297</v>
      </c>
      <c r="C31" s="220" t="s">
        <v>297</v>
      </c>
      <c r="D31" s="221" t="s">
        <v>563</v>
      </c>
      <c r="E31" s="221" t="s">
        <v>238</v>
      </c>
      <c r="F31" s="220" t="s">
        <v>494</v>
      </c>
      <c r="G31" s="234">
        <v>2017</v>
      </c>
      <c r="H31" s="234" t="s">
        <v>178</v>
      </c>
      <c r="I31" s="391">
        <f>Analytica!AN44</f>
        <v>0</v>
      </c>
      <c r="J31" s="220" t="s">
        <v>492</v>
      </c>
      <c r="K31" s="222" t="s">
        <v>493</v>
      </c>
    </row>
    <row r="32" spans="1:12" x14ac:dyDescent="0.25">
      <c r="A32" s="220" t="s">
        <v>567</v>
      </c>
      <c r="B32" s="220" t="s">
        <v>299</v>
      </c>
      <c r="C32" s="220" t="s">
        <v>299</v>
      </c>
      <c r="D32" s="221" t="s">
        <v>563</v>
      </c>
      <c r="E32" s="221" t="s">
        <v>279</v>
      </c>
      <c r="F32" s="220" t="s">
        <v>494</v>
      </c>
      <c r="G32" s="234">
        <v>2017</v>
      </c>
      <c r="H32" s="234" t="s">
        <v>178</v>
      </c>
      <c r="I32" s="391">
        <f>Analytica!AN45</f>
        <v>0</v>
      </c>
      <c r="J32" s="220" t="s">
        <v>492</v>
      </c>
      <c r="K32" s="222" t="s">
        <v>493</v>
      </c>
    </row>
    <row r="33" spans="1:11" x14ac:dyDescent="0.25">
      <c r="A33" s="220" t="s">
        <v>565</v>
      </c>
      <c r="B33" s="220" t="s">
        <v>301</v>
      </c>
      <c r="C33" s="220" t="s">
        <v>301</v>
      </c>
      <c r="D33" s="221" t="s">
        <v>563</v>
      </c>
      <c r="E33" s="221" t="s">
        <v>235</v>
      </c>
      <c r="F33" s="220" t="s">
        <v>494</v>
      </c>
      <c r="G33" s="234">
        <v>2017</v>
      </c>
      <c r="H33" s="234" t="s">
        <v>178</v>
      </c>
      <c r="I33" s="391">
        <f>Analytica!AN46</f>
        <v>0</v>
      </c>
      <c r="J33" s="220" t="s">
        <v>492</v>
      </c>
      <c r="K33" s="222" t="s">
        <v>493</v>
      </c>
    </row>
    <row r="34" spans="1:11" x14ac:dyDescent="0.25">
      <c r="A34" s="220" t="s">
        <v>571</v>
      </c>
      <c r="B34" s="220" t="s">
        <v>303</v>
      </c>
      <c r="C34" s="220" t="s">
        <v>303</v>
      </c>
      <c r="D34" s="221" t="s">
        <v>563</v>
      </c>
      <c r="E34" s="221" t="s">
        <v>276</v>
      </c>
      <c r="F34" s="220" t="s">
        <v>494</v>
      </c>
      <c r="G34" s="234">
        <v>2017</v>
      </c>
      <c r="H34" s="234" t="s">
        <v>178</v>
      </c>
      <c r="I34" s="391">
        <f>Analytica!AN47</f>
        <v>0</v>
      </c>
      <c r="J34" s="220" t="s">
        <v>492</v>
      </c>
      <c r="K34" s="222" t="s">
        <v>493</v>
      </c>
    </row>
    <row r="35" spans="1:11" x14ac:dyDescent="0.25">
      <c r="A35" s="220" t="s">
        <v>572</v>
      </c>
      <c r="B35" s="220" t="s">
        <v>564</v>
      </c>
      <c r="C35" s="220" t="s">
        <v>305</v>
      </c>
      <c r="D35" s="221" t="s">
        <v>563</v>
      </c>
      <c r="E35" s="221" t="s">
        <v>253</v>
      </c>
      <c r="F35" s="220" t="s">
        <v>494</v>
      </c>
      <c r="G35" s="234">
        <v>2017</v>
      </c>
      <c r="H35" s="234" t="s">
        <v>178</v>
      </c>
      <c r="I35" s="391">
        <f>Analytica!AN48</f>
        <v>0</v>
      </c>
      <c r="J35" s="220" t="s">
        <v>492</v>
      </c>
      <c r="K35" s="222" t="s">
        <v>493</v>
      </c>
    </row>
    <row r="36" spans="1:11" x14ac:dyDescent="0.25">
      <c r="A36" s="220" t="s">
        <v>823</v>
      </c>
      <c r="B36" s="220"/>
      <c r="C36" s="220"/>
      <c r="D36" s="221" t="s">
        <v>411</v>
      </c>
      <c r="E36" s="221" t="s">
        <v>441</v>
      </c>
      <c r="F36" s="220" t="s">
        <v>494</v>
      </c>
      <c r="G36" s="234">
        <v>2017</v>
      </c>
      <c r="H36" s="234" t="s">
        <v>178</v>
      </c>
      <c r="I36" s="390">
        <f>Calib_2017!P42*0.001</f>
        <v>2.5605771444500771</v>
      </c>
      <c r="J36" s="220" t="s">
        <v>851</v>
      </c>
      <c r="K36" s="222" t="s">
        <v>852</v>
      </c>
    </row>
    <row r="37" spans="1:11" x14ac:dyDescent="0.25">
      <c r="A37" s="220" t="s">
        <v>827</v>
      </c>
      <c r="B37" s="220"/>
      <c r="C37" s="220"/>
      <c r="D37" s="221" t="s">
        <v>412</v>
      </c>
      <c r="E37" s="221" t="s">
        <v>441</v>
      </c>
      <c r="F37" s="220" t="s">
        <v>494</v>
      </c>
      <c r="G37" s="234">
        <v>2017</v>
      </c>
      <c r="H37" s="234" t="s">
        <v>178</v>
      </c>
      <c r="I37" s="390">
        <f>Calib_2017!S42*0.001</f>
        <v>3.6787586919604651</v>
      </c>
      <c r="J37" s="220" t="s">
        <v>851</v>
      </c>
      <c r="K37" s="222" t="s">
        <v>852</v>
      </c>
    </row>
    <row r="38" spans="1:11" x14ac:dyDescent="0.25">
      <c r="A38" s="220" t="s">
        <v>829</v>
      </c>
      <c r="B38" s="220"/>
      <c r="C38" s="220"/>
      <c r="D38" s="221" t="s">
        <v>411</v>
      </c>
      <c r="E38" s="221" t="s">
        <v>443</v>
      </c>
      <c r="F38" s="220" t="s">
        <v>494</v>
      </c>
      <c r="G38" s="234">
        <v>2017</v>
      </c>
      <c r="H38" s="234" t="s">
        <v>178</v>
      </c>
      <c r="I38" s="390">
        <f>Calib_2017!P43*0.001</f>
        <v>1.2585029337895188</v>
      </c>
      <c r="J38" s="220" t="s">
        <v>851</v>
      </c>
      <c r="K38" s="222" t="s">
        <v>852</v>
      </c>
    </row>
    <row r="39" spans="1:11" x14ac:dyDescent="0.25">
      <c r="A39" s="220" t="s">
        <v>831</v>
      </c>
      <c r="B39" s="220"/>
      <c r="C39" s="220"/>
      <c r="D39" s="221" t="s">
        <v>412</v>
      </c>
      <c r="E39" s="221" t="s">
        <v>443</v>
      </c>
      <c r="F39" s="220" t="s">
        <v>494</v>
      </c>
      <c r="G39" s="234">
        <v>2017</v>
      </c>
      <c r="H39" s="234" t="s">
        <v>178</v>
      </c>
      <c r="I39" s="390">
        <f>Calib_2017!S43*0.001</f>
        <v>1.8080801105995357</v>
      </c>
      <c r="J39" s="220" t="s">
        <v>851</v>
      </c>
      <c r="K39" s="222" t="s">
        <v>852</v>
      </c>
    </row>
    <row r="40" spans="1:11" x14ac:dyDescent="0.25">
      <c r="A40" s="220" t="s">
        <v>833</v>
      </c>
      <c r="B40" s="220"/>
      <c r="C40" s="220"/>
      <c r="D40" s="221" t="s">
        <v>411</v>
      </c>
      <c r="E40" s="221" t="s">
        <v>445</v>
      </c>
      <c r="F40" s="220" t="s">
        <v>494</v>
      </c>
      <c r="G40" s="234">
        <v>2017</v>
      </c>
      <c r="H40" s="234" t="s">
        <v>178</v>
      </c>
      <c r="I40" s="390">
        <f>Calib_2017!P44*0.001</f>
        <v>2.6539370035224303</v>
      </c>
      <c r="J40" s="220" t="s">
        <v>851</v>
      </c>
      <c r="K40" s="222" t="s">
        <v>852</v>
      </c>
    </row>
    <row r="41" spans="1:11" x14ac:dyDescent="0.25">
      <c r="A41" s="220" t="s">
        <v>835</v>
      </c>
      <c r="B41" s="220"/>
      <c r="C41" s="220"/>
      <c r="D41" s="221" t="s">
        <v>412</v>
      </c>
      <c r="E41" s="221" t="s">
        <v>445</v>
      </c>
      <c r="F41" s="220" t="s">
        <v>494</v>
      </c>
      <c r="G41" s="234">
        <v>2017</v>
      </c>
      <c r="H41" s="234" t="s">
        <v>178</v>
      </c>
      <c r="I41" s="390">
        <f>Calib_2017!S44*0.001</f>
        <v>3.8128879814399999</v>
      </c>
      <c r="J41" s="220" t="s">
        <v>851</v>
      </c>
      <c r="K41" s="222" t="s">
        <v>852</v>
      </c>
    </row>
    <row r="42" spans="1:11" x14ac:dyDescent="0.25">
      <c r="A42" s="220" t="s">
        <v>837</v>
      </c>
      <c r="B42" s="220"/>
      <c r="C42" s="220"/>
      <c r="D42" s="221" t="s">
        <v>412</v>
      </c>
      <c r="E42" s="221" t="s">
        <v>448</v>
      </c>
      <c r="F42" s="220" t="s">
        <v>494</v>
      </c>
      <c r="G42" s="234">
        <v>2017</v>
      </c>
      <c r="H42" s="234" t="s">
        <v>178</v>
      </c>
      <c r="I42" s="390">
        <f>EB_2017!BD86*0.001</f>
        <v>1.641128256</v>
      </c>
      <c r="J42" s="220" t="s">
        <v>851</v>
      </c>
      <c r="K42" s="222" t="s">
        <v>852</v>
      </c>
    </row>
    <row r="43" spans="1:11" x14ac:dyDescent="0.25">
      <c r="A43" s="220" t="s">
        <v>840</v>
      </c>
      <c r="B43" s="220"/>
      <c r="C43" s="220"/>
      <c r="D43" s="221" t="s">
        <v>802</v>
      </c>
      <c r="E43" s="221" t="s">
        <v>450</v>
      </c>
      <c r="F43" s="220" t="s">
        <v>494</v>
      </c>
      <c r="G43" s="234">
        <v>2017</v>
      </c>
      <c r="H43" s="234" t="s">
        <v>178</v>
      </c>
      <c r="I43" s="390">
        <f>EB_2017!AI69/1000</f>
        <v>68.938999999999993</v>
      </c>
      <c r="J43" s="220" t="s">
        <v>851</v>
      </c>
      <c r="K43" s="222" t="s">
        <v>852</v>
      </c>
    </row>
    <row r="44" spans="1:11" x14ac:dyDescent="0.25">
      <c r="A44" s="220" t="s">
        <v>842</v>
      </c>
      <c r="B44" s="220"/>
      <c r="C44" s="220"/>
      <c r="D44" s="221" t="s">
        <v>802</v>
      </c>
      <c r="E44" s="221" t="s">
        <v>452</v>
      </c>
      <c r="F44" s="220" t="s">
        <v>494</v>
      </c>
      <c r="G44" s="234">
        <v>2017</v>
      </c>
      <c r="H44" s="234" t="s">
        <v>178</v>
      </c>
      <c r="I44" s="390">
        <f>EB_2017!AI70/1000</f>
        <v>20.483000000000001</v>
      </c>
      <c r="J44" s="220" t="s">
        <v>851</v>
      </c>
      <c r="K44" s="222" t="s">
        <v>852</v>
      </c>
    </row>
    <row r="45" spans="1:11" x14ac:dyDescent="0.25">
      <c r="A45" s="220" t="s">
        <v>844</v>
      </c>
      <c r="B45" s="220"/>
      <c r="C45" s="220"/>
      <c r="D45" s="221" t="s">
        <v>800</v>
      </c>
      <c r="E45" s="221" t="s">
        <v>454</v>
      </c>
      <c r="F45" s="220" t="s">
        <v>494</v>
      </c>
      <c r="G45" s="234">
        <v>2017</v>
      </c>
      <c r="H45" s="234" t="s">
        <v>178</v>
      </c>
      <c r="I45" s="390">
        <f>EB_2017!AG68*0.001</f>
        <v>0.82200000000000006</v>
      </c>
      <c r="J45" s="220" t="s">
        <v>851</v>
      </c>
      <c r="K45" s="222" t="s">
        <v>852</v>
      </c>
    </row>
    <row r="46" spans="1:11" x14ac:dyDescent="0.25">
      <c r="A46" s="220" t="s">
        <v>846</v>
      </c>
      <c r="B46" s="220"/>
      <c r="C46" s="220"/>
      <c r="D46" s="221" t="s">
        <v>801</v>
      </c>
      <c r="E46" s="221" t="s">
        <v>456</v>
      </c>
      <c r="F46" s="220" t="s">
        <v>494</v>
      </c>
      <c r="G46" s="234">
        <v>2017</v>
      </c>
      <c r="H46" s="234" t="s">
        <v>178</v>
      </c>
      <c r="I46" s="390">
        <f>EB_2017!AL68/1000</f>
        <v>2.77</v>
      </c>
      <c r="J46" s="220" t="s">
        <v>851</v>
      </c>
      <c r="K46" s="222" t="s">
        <v>852</v>
      </c>
    </row>
    <row r="47" spans="1:11" x14ac:dyDescent="0.25">
      <c r="A47" s="220"/>
      <c r="B47" s="220"/>
      <c r="C47" s="220"/>
      <c r="D47" s="221" t="s">
        <v>804</v>
      </c>
      <c r="E47" s="221"/>
      <c r="F47" s="220"/>
      <c r="G47" s="234"/>
      <c r="H47" s="234"/>
      <c r="I47" s="390"/>
      <c r="J47" s="220"/>
      <c r="K47" s="222"/>
    </row>
    <row r="48" spans="1:11" x14ac:dyDescent="0.25">
      <c r="A48" s="220"/>
      <c r="B48" s="220"/>
      <c r="C48" s="220"/>
      <c r="D48" s="221" t="s">
        <v>805</v>
      </c>
      <c r="E48" s="221"/>
      <c r="F48" s="220"/>
      <c r="G48" s="234"/>
      <c r="H48" s="234"/>
      <c r="I48" s="390"/>
      <c r="J48" s="220"/>
      <c r="K48" s="222"/>
    </row>
    <row r="49" spans="1:11" x14ac:dyDescent="0.25">
      <c r="A49" s="220"/>
      <c r="B49" s="220"/>
      <c r="C49" s="220"/>
      <c r="D49" s="221"/>
      <c r="E49" s="221" t="s">
        <v>396</v>
      </c>
      <c r="F49" s="220"/>
      <c r="G49" s="234"/>
      <c r="H49" s="234"/>
      <c r="I49" s="390"/>
      <c r="J49" s="220"/>
      <c r="K49" s="222"/>
    </row>
    <row r="50" spans="1:11" x14ac:dyDescent="0.25">
      <c r="A50" s="220"/>
      <c r="B50" s="220"/>
      <c r="C50" s="220"/>
      <c r="D50" s="221"/>
      <c r="E50" s="221" t="s">
        <v>427</v>
      </c>
      <c r="F50" s="220"/>
      <c r="G50" s="234"/>
      <c r="H50" s="234"/>
      <c r="I50" s="390"/>
      <c r="J50" s="220"/>
      <c r="K50" s="222"/>
    </row>
    <row r="51" spans="1:11" x14ac:dyDescent="0.25">
      <c r="A51" s="220"/>
      <c r="B51" s="220"/>
      <c r="C51" s="220"/>
      <c r="D51" s="221"/>
      <c r="E51" s="221"/>
      <c r="F51" s="220"/>
      <c r="G51" s="234"/>
      <c r="H51" s="234"/>
      <c r="I51" s="390"/>
      <c r="J51" s="220"/>
      <c r="K51" s="222"/>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787F8F-B464-44AE-8EFE-1B074C0EC922}">
  <sheetPr>
    <tabColor theme="5" tint="0.79998168889431442"/>
  </sheetPr>
  <dimension ref="A1:M38"/>
  <sheetViews>
    <sheetView workbookViewId="0"/>
  </sheetViews>
  <sheetFormatPr defaultRowHeight="15" x14ac:dyDescent="0.25"/>
  <cols>
    <col min="1" max="1" width="29.85546875" customWidth="1"/>
    <col min="4" max="13" width="12.140625" style="207" customWidth="1"/>
  </cols>
  <sheetData>
    <row r="1" spans="1:13" x14ac:dyDescent="0.25">
      <c r="A1" t="s">
        <v>414</v>
      </c>
    </row>
    <row r="2" spans="1:13" ht="15.75" thickBot="1" x14ac:dyDescent="0.3">
      <c r="C2" s="2" t="s">
        <v>62</v>
      </c>
      <c r="D2" s="2" t="s">
        <v>403</v>
      </c>
      <c r="E2" s="2" t="s">
        <v>404</v>
      </c>
      <c r="F2" s="2" t="s">
        <v>59</v>
      </c>
      <c r="G2" s="2" t="s">
        <v>64</v>
      </c>
      <c r="H2" s="2" t="s">
        <v>405</v>
      </c>
      <c r="I2" s="2" t="s">
        <v>406</v>
      </c>
      <c r="J2" s="2" t="s">
        <v>407</v>
      </c>
      <c r="K2" s="2" t="s">
        <v>408</v>
      </c>
      <c r="L2" s="2" t="s">
        <v>409</v>
      </c>
      <c r="M2" s="2" t="s">
        <v>410</v>
      </c>
    </row>
    <row r="3" spans="1:13" x14ac:dyDescent="0.25">
      <c r="C3" s="208" t="s">
        <v>415</v>
      </c>
      <c r="D3" s="210" t="s">
        <v>800</v>
      </c>
      <c r="E3" s="210" t="s">
        <v>411</v>
      </c>
      <c r="F3" s="210" t="s">
        <v>412</v>
      </c>
      <c r="G3" s="210" t="s">
        <v>563</v>
      </c>
      <c r="H3" s="210" t="s">
        <v>413</v>
      </c>
      <c r="I3" s="210" t="s">
        <v>801</v>
      </c>
      <c r="J3" s="210" t="s">
        <v>802</v>
      </c>
      <c r="K3" s="210" t="s">
        <v>803</v>
      </c>
      <c r="L3" s="210" t="s">
        <v>804</v>
      </c>
      <c r="M3" s="210" t="s">
        <v>805</v>
      </c>
    </row>
    <row r="4" spans="1:13" ht="15.75" thickBot="1" x14ac:dyDescent="0.3">
      <c r="A4" s="2" t="s">
        <v>416</v>
      </c>
      <c r="B4" s="2" t="s">
        <v>417</v>
      </c>
    </row>
    <row r="5" spans="1:13" x14ac:dyDescent="0.25">
      <c r="A5" s="212" t="s">
        <v>428</v>
      </c>
      <c r="B5" s="208"/>
    </row>
    <row r="6" spans="1:13" x14ac:dyDescent="0.25">
      <c r="A6" s="211" t="s">
        <v>418</v>
      </c>
      <c r="B6" s="209" t="s">
        <v>283</v>
      </c>
      <c r="D6" s="337">
        <f>IFERROR(SUMIFS(FNRG_ANTC!$I$4:$I$51,FNRG_ANTC!$D$4:$D$51,D$3,FNRG_ANTC!$E$4:$E$51,$B6),0)</f>
        <v>0</v>
      </c>
      <c r="E6" s="337">
        <f>IFERROR(SUMIFS(FNRG_ANTC!$I$4:$I$51,FNRG_ANTC!$D$4:$D$51,E$3,FNRG_ANTC!$E$4:$E$51,$B6),0)</f>
        <v>36.78</v>
      </c>
      <c r="F6" s="337">
        <f>IFERROR(SUMIFS(FNRG_ANTC!$I$4:$I$51,FNRG_ANTC!$D$4:$D$51,F$3,FNRG_ANTC!$E$4:$E$51,$B6),0)</f>
        <v>0</v>
      </c>
      <c r="G6" s="337">
        <f>IFERROR(SUMIFS(FNRG_ANTC!$I$4:$I$51,FNRG_ANTC!$D$4:$D$51,G$3,FNRG_ANTC!$E$4:$E$51,$B6),0)</f>
        <v>0</v>
      </c>
      <c r="H6" s="337">
        <f>IFERROR(SUMIFS(FNRG_ANTC!$I$4:$I$51,FNRG_ANTC!$D$4:$D$51,H$3,FNRG_ANTC!$E$4:$E$51,$B6),0)</f>
        <v>42.517229999999998</v>
      </c>
      <c r="I6" s="337">
        <f>IFERROR(SUMIFS(FNRG_ANTC!$I$4:$I$51,FNRG_ANTC!$D$4:$D$51,I$3,FNRG_ANTC!$E$4:$E$51,$B6),0)</f>
        <v>0</v>
      </c>
      <c r="J6" s="337">
        <f>IFERROR(SUMIFS(FNRG_ANTC!$I$4:$I$51,FNRG_ANTC!$D$4:$D$51,J$3,FNRG_ANTC!$E$4:$E$51,$B6),0)</f>
        <v>0</v>
      </c>
      <c r="K6" s="337">
        <f>IFERROR(SUMIFS(FNRG_ANTC!$I$4:$I$51,FNRG_ANTC!$D$4:$D$51,K$3,FNRG_ANTC!$E$4:$E$51,$B6),0)</f>
        <v>0</v>
      </c>
      <c r="L6" s="337">
        <f>IFERROR(SUMIFS(FNRG_ANTC!$I$4:$I$51,FNRG_ANTC!$D$4:$D$51,L$3,FNRG_ANTC!$E$4:$E$51,$B6),0)</f>
        <v>0</v>
      </c>
      <c r="M6" s="337">
        <f>IFERROR(SUMIFS(FNRG_ANTC!$I$4:$I$51,FNRG_ANTC!$D$4:$D$51,M$3,FNRG_ANTC!$E$4:$E$51,$B6),0)</f>
        <v>0</v>
      </c>
    </row>
    <row r="7" spans="1:13" x14ac:dyDescent="0.25">
      <c r="A7" s="211" t="s">
        <v>419</v>
      </c>
      <c r="B7" s="209" t="s">
        <v>238</v>
      </c>
      <c r="D7" s="337">
        <f>IFERROR(SUMIFS(FNRG_ANTC!$I$4:$I$51,FNRG_ANTC!$D$4:$D$51,D$3,FNRG_ANTC!$E$4:$E$51,$B7),0)</f>
        <v>0</v>
      </c>
      <c r="E7" s="337">
        <f>IFERROR(SUMIFS(FNRG_ANTC!$I$4:$I$51,FNRG_ANTC!$D$4:$D$51,E$3,FNRG_ANTC!$E$4:$E$51,$B7),0)</f>
        <v>19.53</v>
      </c>
      <c r="F7" s="337">
        <f>IFERROR(SUMIFS(FNRG_ANTC!$I$4:$I$51,FNRG_ANTC!$D$4:$D$51,F$3,FNRG_ANTC!$E$4:$E$51,$B7),0)</f>
        <v>4.3920000000000001E-3</v>
      </c>
      <c r="G7" s="337">
        <f>IFERROR(SUMIFS(FNRG_ANTC!$I$4:$I$51,FNRG_ANTC!$D$4:$D$51,G$3,FNRG_ANTC!$E$4:$E$51,$B7),0)</f>
        <v>0</v>
      </c>
      <c r="H7" s="337">
        <f>IFERROR(SUMIFS(FNRG_ANTC!$I$4:$I$51,FNRG_ANTC!$D$4:$D$51,H$3,FNRG_ANTC!$E$4:$E$51,$B7),0)</f>
        <v>209.14560617320998</v>
      </c>
      <c r="I7" s="337">
        <f>IFERROR(SUMIFS(FNRG_ANTC!$I$4:$I$51,FNRG_ANTC!$D$4:$D$51,I$3,FNRG_ANTC!$E$4:$E$51,$B7),0)</f>
        <v>0</v>
      </c>
      <c r="J7" s="337">
        <f>IFERROR(SUMIFS(FNRG_ANTC!$I$4:$I$51,FNRG_ANTC!$D$4:$D$51,J$3,FNRG_ANTC!$E$4:$E$51,$B7),0)</f>
        <v>0</v>
      </c>
      <c r="K7" s="337">
        <f>IFERROR(SUMIFS(FNRG_ANTC!$I$4:$I$51,FNRG_ANTC!$D$4:$D$51,K$3,FNRG_ANTC!$E$4:$E$51,$B7),0)</f>
        <v>0</v>
      </c>
      <c r="L7" s="337">
        <f>IFERROR(SUMIFS(FNRG_ANTC!$I$4:$I$51,FNRG_ANTC!$D$4:$D$51,L$3,FNRG_ANTC!$E$4:$E$51,$B7),0)</f>
        <v>0</v>
      </c>
      <c r="M7" s="337">
        <f>IFERROR(SUMIFS(FNRG_ANTC!$I$4:$I$51,FNRG_ANTC!$D$4:$D$51,M$3,FNRG_ANTC!$E$4:$E$51,$B7),0)</f>
        <v>0</v>
      </c>
    </row>
    <row r="8" spans="1:13" x14ac:dyDescent="0.25">
      <c r="A8" s="211" t="s">
        <v>420</v>
      </c>
      <c r="B8" s="209" t="s">
        <v>289</v>
      </c>
      <c r="D8" s="337">
        <f>IFERROR(SUMIFS(FNRG_ANTC!$I$4:$I$51,FNRG_ANTC!$D$4:$D$51,D$3,FNRG_ANTC!$E$4:$E$51,$B8),0)</f>
        <v>0</v>
      </c>
      <c r="E8" s="337">
        <f>IFERROR(SUMIFS(FNRG_ANTC!$I$4:$I$51,FNRG_ANTC!$D$4:$D$51,E$3,FNRG_ANTC!$E$4:$E$51,$B8),0)</f>
        <v>0</v>
      </c>
      <c r="F8" s="337">
        <f>IFERROR(SUMIFS(FNRG_ANTC!$I$4:$I$51,FNRG_ANTC!$D$4:$D$51,F$3,FNRG_ANTC!$E$4:$E$51,$B8),0)</f>
        <v>0</v>
      </c>
      <c r="G8" s="337">
        <f>IFERROR(SUMIFS(FNRG_ANTC!$I$4:$I$51,FNRG_ANTC!$D$4:$D$51,G$3,FNRG_ANTC!$E$4:$E$51,$B8),0)</f>
        <v>0</v>
      </c>
      <c r="H8" s="337">
        <f>IFERROR(SUMIFS(FNRG_ANTC!$I$4:$I$51,FNRG_ANTC!$D$4:$D$51,H$3,FNRG_ANTC!$E$4:$E$51,$B8),0)</f>
        <v>10.127080654417099</v>
      </c>
      <c r="I8" s="337">
        <f>IFERROR(SUMIFS(FNRG_ANTC!$I$4:$I$51,FNRG_ANTC!$D$4:$D$51,I$3,FNRG_ANTC!$E$4:$E$51,$B8),0)</f>
        <v>0</v>
      </c>
      <c r="J8" s="337">
        <f>IFERROR(SUMIFS(FNRG_ANTC!$I$4:$I$51,FNRG_ANTC!$D$4:$D$51,J$3,FNRG_ANTC!$E$4:$E$51,$B8),0)</f>
        <v>0</v>
      </c>
      <c r="K8" s="337">
        <f>IFERROR(SUMIFS(FNRG_ANTC!$I$4:$I$51,FNRG_ANTC!$D$4:$D$51,K$3,FNRG_ANTC!$E$4:$E$51,$B8),0)</f>
        <v>0</v>
      </c>
      <c r="L8" s="337">
        <f>IFERROR(SUMIFS(FNRG_ANTC!$I$4:$I$51,FNRG_ANTC!$D$4:$D$51,L$3,FNRG_ANTC!$E$4:$E$51,$B8),0)</f>
        <v>0</v>
      </c>
      <c r="M8" s="337">
        <f>IFERROR(SUMIFS(FNRG_ANTC!$I$4:$I$51,FNRG_ANTC!$D$4:$D$51,M$3,FNRG_ANTC!$E$4:$E$51,$B8),0)</f>
        <v>0</v>
      </c>
    </row>
    <row r="9" spans="1:13" x14ac:dyDescent="0.25">
      <c r="A9" s="211" t="s">
        <v>421</v>
      </c>
      <c r="B9" s="209" t="s">
        <v>235</v>
      </c>
      <c r="D9" s="337">
        <f>IFERROR(SUMIFS(FNRG_ANTC!$I$4:$I$51,FNRG_ANTC!$D$4:$D$51,D$3,FNRG_ANTC!$E$4:$E$51,$B9),0)</f>
        <v>0</v>
      </c>
      <c r="E9" s="337">
        <f>IFERROR(SUMIFS(FNRG_ANTC!$I$4:$I$51,FNRG_ANTC!$D$4:$D$51,E$3,FNRG_ANTC!$E$4:$E$51,$B9),0)</f>
        <v>9.9920000000000009</v>
      </c>
      <c r="F9" s="337">
        <f>IFERROR(SUMIFS(FNRG_ANTC!$I$4:$I$51,FNRG_ANTC!$D$4:$D$51,F$3,FNRG_ANTC!$E$4:$E$51,$B9),0)</f>
        <v>0</v>
      </c>
      <c r="G9" s="337">
        <f>IFERROR(SUMIFS(FNRG_ANTC!$I$4:$I$51,FNRG_ANTC!$D$4:$D$51,G$3,FNRG_ANTC!$E$4:$E$51,$B9),0)</f>
        <v>0</v>
      </c>
      <c r="H9" s="337">
        <f>IFERROR(SUMIFS(FNRG_ANTC!$I$4:$I$51,FNRG_ANTC!$D$4:$D$51,H$3,FNRG_ANTC!$E$4:$E$51,$B9),0)</f>
        <v>0</v>
      </c>
      <c r="I9" s="337">
        <f>IFERROR(SUMIFS(FNRG_ANTC!$I$4:$I$51,FNRG_ANTC!$D$4:$D$51,I$3,FNRG_ANTC!$E$4:$E$51,$B9),0)</f>
        <v>0</v>
      </c>
      <c r="J9" s="337">
        <f>IFERROR(SUMIFS(FNRG_ANTC!$I$4:$I$51,FNRG_ANTC!$D$4:$D$51,J$3,FNRG_ANTC!$E$4:$E$51,$B9),0)</f>
        <v>0</v>
      </c>
      <c r="K9" s="337">
        <f>IFERROR(SUMIFS(FNRG_ANTC!$I$4:$I$51,FNRG_ANTC!$D$4:$D$51,K$3,FNRG_ANTC!$E$4:$E$51,$B9),0)</f>
        <v>0</v>
      </c>
      <c r="L9" s="337">
        <f>IFERROR(SUMIFS(FNRG_ANTC!$I$4:$I$51,FNRG_ANTC!$D$4:$D$51,L$3,FNRG_ANTC!$E$4:$E$51,$B9),0)</f>
        <v>0</v>
      </c>
      <c r="M9" s="337">
        <f>IFERROR(SUMIFS(FNRG_ANTC!$I$4:$I$51,FNRG_ANTC!$D$4:$D$51,M$3,FNRG_ANTC!$E$4:$E$51,$B9),0)</f>
        <v>0</v>
      </c>
    </row>
    <row r="10" spans="1:13" x14ac:dyDescent="0.25">
      <c r="A10" s="211" t="s">
        <v>422</v>
      </c>
      <c r="B10" s="209" t="s">
        <v>279</v>
      </c>
      <c r="D10" s="337">
        <f>IFERROR(SUMIFS(FNRG_ANTC!$I$4:$I$51,FNRG_ANTC!$D$4:$D$51,D$3,FNRG_ANTC!$E$4:$E$51,$B10),0)</f>
        <v>0</v>
      </c>
      <c r="E10" s="337">
        <f>IFERROR(SUMIFS(FNRG_ANTC!$I$4:$I$51,FNRG_ANTC!$D$4:$D$51,E$3,FNRG_ANTC!$E$4:$E$51,$B10),0)</f>
        <v>9</v>
      </c>
      <c r="F10" s="337">
        <f>IFERROR(SUMIFS(FNRG_ANTC!$I$4:$I$51,FNRG_ANTC!$D$4:$D$51,F$3,FNRG_ANTC!$E$4:$E$51,$B10),0)</f>
        <v>0</v>
      </c>
      <c r="G10" s="337">
        <f>IFERROR(SUMIFS(FNRG_ANTC!$I$4:$I$51,FNRG_ANTC!$D$4:$D$51,G$3,FNRG_ANTC!$E$4:$E$51,$B10),0)</f>
        <v>0</v>
      </c>
      <c r="H10" s="337">
        <f>IFERROR(SUMIFS(FNRG_ANTC!$I$4:$I$51,FNRG_ANTC!$D$4:$D$51,H$3,FNRG_ANTC!$E$4:$E$51,$B10),0)</f>
        <v>25.31</v>
      </c>
      <c r="I10" s="337">
        <f>IFERROR(SUMIFS(FNRG_ANTC!$I$4:$I$51,FNRG_ANTC!$D$4:$D$51,I$3,FNRG_ANTC!$E$4:$E$51,$B10),0)</f>
        <v>0</v>
      </c>
      <c r="J10" s="337">
        <f>IFERROR(SUMIFS(FNRG_ANTC!$I$4:$I$51,FNRG_ANTC!$D$4:$D$51,J$3,FNRG_ANTC!$E$4:$E$51,$B10),0)</f>
        <v>0</v>
      </c>
      <c r="K10" s="337">
        <f>IFERROR(SUMIFS(FNRG_ANTC!$I$4:$I$51,FNRG_ANTC!$D$4:$D$51,K$3,FNRG_ANTC!$E$4:$E$51,$B10),0)</f>
        <v>0</v>
      </c>
      <c r="L10" s="337">
        <f>IFERROR(SUMIFS(FNRG_ANTC!$I$4:$I$51,FNRG_ANTC!$D$4:$D$51,L$3,FNRG_ANTC!$E$4:$E$51,$B10),0)</f>
        <v>0</v>
      </c>
      <c r="M10" s="337">
        <f>IFERROR(SUMIFS(FNRG_ANTC!$I$4:$I$51,FNRG_ANTC!$D$4:$D$51,M$3,FNRG_ANTC!$E$4:$E$51,$B10),0)</f>
        <v>0</v>
      </c>
    </row>
    <row r="11" spans="1:13" x14ac:dyDescent="0.25">
      <c r="A11" s="211" t="s">
        <v>423</v>
      </c>
      <c r="B11" s="209" t="s">
        <v>396</v>
      </c>
      <c r="D11" s="337">
        <f>IFERROR(SUMIFS(FNRG_ANTC!$I$4:$I$51,FNRG_ANTC!$D$4:$D$51,D$3,FNRG_ANTC!$E$4:$E$51,$B11),0)</f>
        <v>0</v>
      </c>
      <c r="E11" s="337">
        <f>IFERROR(SUMIFS(FNRG_ANTC!$I$4:$I$51,FNRG_ANTC!$D$4:$D$51,E$3,FNRG_ANTC!$E$4:$E$51,$B11),0)</f>
        <v>0</v>
      </c>
      <c r="F11" s="337">
        <f>IFERROR(SUMIFS(FNRG_ANTC!$I$4:$I$51,FNRG_ANTC!$D$4:$D$51,F$3,FNRG_ANTC!$E$4:$E$51,$B11),0)</f>
        <v>0</v>
      </c>
      <c r="G11" s="337">
        <f>IFERROR(SUMIFS(FNRG_ANTC!$I$4:$I$51,FNRG_ANTC!$D$4:$D$51,G$3,FNRG_ANTC!$E$4:$E$51,$B11),0)</f>
        <v>0</v>
      </c>
      <c r="H11" s="337">
        <f>IFERROR(SUMIFS(FNRG_ANTC!$I$4:$I$51,FNRG_ANTC!$D$4:$D$51,H$3,FNRG_ANTC!$E$4:$E$51,$B11),0)</f>
        <v>0</v>
      </c>
      <c r="I11" s="337">
        <f>IFERROR(SUMIFS(FNRG_ANTC!$I$4:$I$51,FNRG_ANTC!$D$4:$D$51,I$3,FNRG_ANTC!$E$4:$E$51,$B11),0)</f>
        <v>0</v>
      </c>
      <c r="J11" s="337">
        <f>IFERROR(SUMIFS(FNRG_ANTC!$I$4:$I$51,FNRG_ANTC!$D$4:$D$51,J$3,FNRG_ANTC!$E$4:$E$51,$B11),0)</f>
        <v>0</v>
      </c>
      <c r="K11" s="337">
        <f>IFERROR(SUMIFS(FNRG_ANTC!$I$4:$I$51,FNRG_ANTC!$D$4:$D$51,K$3,FNRG_ANTC!$E$4:$E$51,$B11),0)</f>
        <v>0</v>
      </c>
      <c r="L11" s="337">
        <f>IFERROR(SUMIFS(FNRG_ANTC!$I$4:$I$51,FNRG_ANTC!$D$4:$D$51,L$3,FNRG_ANTC!$E$4:$E$51,$B11),0)</f>
        <v>0</v>
      </c>
      <c r="M11" s="337">
        <f>IFERROR(SUMIFS(FNRG_ANTC!$I$4:$I$51,FNRG_ANTC!$D$4:$D$51,M$3,FNRG_ANTC!$E$4:$E$51,$B11),0)</f>
        <v>0</v>
      </c>
    </row>
    <row r="12" spans="1:13" x14ac:dyDescent="0.25">
      <c r="A12" s="211" t="s">
        <v>424</v>
      </c>
      <c r="B12" s="209" t="s">
        <v>426</v>
      </c>
      <c r="D12" s="337">
        <f>IFERROR(SUMIFS(FNRG_ANTC!$I$4:$I$51,FNRG_ANTC!$D$4:$D$51,D$3,FNRG_ANTC!$E$4:$E$51,$B12),0)</f>
        <v>0</v>
      </c>
      <c r="E12" s="337">
        <f>IFERROR(SUMIFS(FNRG_ANTC!$I$4:$I$51,FNRG_ANTC!$D$4:$D$51,E$3,FNRG_ANTC!$E$4:$E$51,$B12),0)</f>
        <v>0</v>
      </c>
      <c r="F12" s="337">
        <f>IFERROR(SUMIFS(FNRG_ANTC!$I$4:$I$51,FNRG_ANTC!$D$4:$D$51,F$3,FNRG_ANTC!$E$4:$E$51,$B12),0)</f>
        <v>2.2562732159999994</v>
      </c>
      <c r="G12" s="337">
        <f>IFERROR(SUMIFS(FNRG_ANTC!$I$4:$I$51,FNRG_ANTC!$D$4:$D$51,G$3,FNRG_ANTC!$E$4:$E$51,$B12),0)</f>
        <v>0</v>
      </c>
      <c r="H12" s="337">
        <f>IFERROR(SUMIFS(FNRG_ANTC!$I$4:$I$51,FNRG_ANTC!$D$4:$D$51,H$3,FNRG_ANTC!$E$4:$E$51,$B12),0)</f>
        <v>0</v>
      </c>
      <c r="I12" s="337">
        <f>IFERROR(SUMIFS(FNRG_ANTC!$I$4:$I$51,FNRG_ANTC!$D$4:$D$51,I$3,FNRG_ANTC!$E$4:$E$51,$B12),0)</f>
        <v>0</v>
      </c>
      <c r="J12" s="337">
        <f>IFERROR(SUMIFS(FNRG_ANTC!$I$4:$I$51,FNRG_ANTC!$D$4:$D$51,J$3,FNRG_ANTC!$E$4:$E$51,$B12),0)</f>
        <v>0</v>
      </c>
      <c r="K12" s="337">
        <f>IFERROR(SUMIFS(FNRG_ANTC!$I$4:$I$51,FNRG_ANTC!$D$4:$D$51,K$3,FNRG_ANTC!$E$4:$E$51,$B12),0)</f>
        <v>0</v>
      </c>
      <c r="L12" s="337">
        <f>IFERROR(SUMIFS(FNRG_ANTC!$I$4:$I$51,FNRG_ANTC!$D$4:$D$51,L$3,FNRG_ANTC!$E$4:$E$51,$B12),0)</f>
        <v>0</v>
      </c>
      <c r="M12" s="337">
        <f>IFERROR(SUMIFS(FNRG_ANTC!$I$4:$I$51,FNRG_ANTC!$D$4:$D$51,M$3,FNRG_ANTC!$E$4:$E$51,$B12),0)</f>
        <v>0</v>
      </c>
    </row>
    <row r="13" spans="1:13" x14ac:dyDescent="0.25">
      <c r="A13" s="211" t="s">
        <v>425</v>
      </c>
      <c r="B13" s="209" t="s">
        <v>427</v>
      </c>
      <c r="D13" s="337">
        <f>IFERROR(SUMIFS(FNRG_ANTC!$I$4:$I$51,FNRG_ANTC!$D$4:$D$51,D$3,FNRG_ANTC!$E$4:$E$51,$B13),0)</f>
        <v>0</v>
      </c>
      <c r="E13" s="337">
        <f>IFERROR(SUMIFS(FNRG_ANTC!$I$4:$I$51,FNRG_ANTC!$D$4:$D$51,E$3,FNRG_ANTC!$E$4:$E$51,$B13),0)</f>
        <v>0</v>
      </c>
      <c r="F13" s="337">
        <f>IFERROR(SUMIFS(FNRG_ANTC!$I$4:$I$51,FNRG_ANTC!$D$4:$D$51,F$3,FNRG_ANTC!$E$4:$E$51,$B13),0)</f>
        <v>0</v>
      </c>
      <c r="G13" s="337">
        <f>IFERROR(SUMIFS(FNRG_ANTC!$I$4:$I$51,FNRG_ANTC!$D$4:$D$51,G$3,FNRG_ANTC!$E$4:$E$51,$B13),0)</f>
        <v>0</v>
      </c>
      <c r="H13" s="337">
        <f>IFERROR(SUMIFS(FNRG_ANTC!$I$4:$I$51,FNRG_ANTC!$D$4:$D$51,H$3,FNRG_ANTC!$E$4:$E$51,$B13),0)</f>
        <v>0</v>
      </c>
      <c r="I13" s="337">
        <f>IFERROR(SUMIFS(FNRG_ANTC!$I$4:$I$51,FNRG_ANTC!$D$4:$D$51,I$3,FNRG_ANTC!$E$4:$E$51,$B13),0)</f>
        <v>0</v>
      </c>
      <c r="J13" s="337">
        <f>IFERROR(SUMIFS(FNRG_ANTC!$I$4:$I$51,FNRG_ANTC!$D$4:$D$51,J$3,FNRG_ANTC!$E$4:$E$51,$B13),0)</f>
        <v>0</v>
      </c>
      <c r="K13" s="337">
        <f>IFERROR(SUMIFS(FNRG_ANTC!$I$4:$I$51,FNRG_ANTC!$D$4:$D$51,K$3,FNRG_ANTC!$E$4:$E$51,$B13),0)</f>
        <v>0</v>
      </c>
      <c r="L13" s="337">
        <f>IFERROR(SUMIFS(FNRG_ANTC!$I$4:$I$51,FNRG_ANTC!$D$4:$D$51,L$3,FNRG_ANTC!$E$4:$E$51,$B13),0)</f>
        <v>0</v>
      </c>
      <c r="M13" s="337">
        <f>IFERROR(SUMIFS(FNRG_ANTC!$I$4:$I$51,FNRG_ANTC!$D$4:$D$51,M$3,FNRG_ANTC!$E$4:$E$51,$B13),0)</f>
        <v>0</v>
      </c>
    </row>
    <row r="14" spans="1:13" x14ac:dyDescent="0.25">
      <c r="A14" s="211"/>
      <c r="B14" s="209"/>
      <c r="D14" s="338">
        <f>SUM(D6:D13)</f>
        <v>0</v>
      </c>
      <c r="E14" s="338">
        <f t="shared" ref="E14:M14" si="0">SUM(E6:E13)</f>
        <v>75.302000000000007</v>
      </c>
      <c r="F14" s="338">
        <f t="shared" si="0"/>
        <v>2.2606652159999996</v>
      </c>
      <c r="G14" s="338">
        <f t="shared" si="0"/>
        <v>0</v>
      </c>
      <c r="H14" s="338">
        <f t="shared" si="0"/>
        <v>287.09991682762711</v>
      </c>
      <c r="I14" s="338">
        <f t="shared" si="0"/>
        <v>0</v>
      </c>
      <c r="J14" s="338">
        <f t="shared" si="0"/>
        <v>0</v>
      </c>
      <c r="K14" s="338">
        <f t="shared" si="0"/>
        <v>0</v>
      </c>
      <c r="L14" s="338">
        <f t="shared" si="0"/>
        <v>0</v>
      </c>
      <c r="M14" s="338">
        <f t="shared" si="0"/>
        <v>0</v>
      </c>
    </row>
    <row r="15" spans="1:13" x14ac:dyDescent="0.25">
      <c r="A15" s="213" t="s">
        <v>429</v>
      </c>
      <c r="D15" s="337"/>
      <c r="E15" s="337"/>
      <c r="F15" s="337"/>
      <c r="G15" s="337"/>
      <c r="H15" s="337"/>
      <c r="I15" s="337"/>
      <c r="J15" s="337"/>
      <c r="K15" s="337"/>
      <c r="L15" s="337"/>
      <c r="M15" s="337"/>
    </row>
    <row r="16" spans="1:13" x14ac:dyDescent="0.25">
      <c r="A16" s="211" t="s">
        <v>430</v>
      </c>
      <c r="B16" s="209" t="s">
        <v>276</v>
      </c>
      <c r="D16" s="337">
        <f>IFERROR(SUMIFS(FNRG_ANTC!$I$4:$I$51,FNRG_ANTC!$D$4:$D$51,D$3,FNRG_ANTC!$E$4:$E$51,$B16),0)</f>
        <v>0</v>
      </c>
      <c r="E16" s="337">
        <f>IFERROR(SUMIFS(FNRG_ANTC!$I$4:$I$51,FNRG_ANTC!$D$4:$D$51,E$3,FNRG_ANTC!$E$4:$E$51,$B16),0)</f>
        <v>119.2</v>
      </c>
      <c r="F16" s="337">
        <f>IFERROR(SUMIFS(FNRG_ANTC!$I$4:$I$51,FNRG_ANTC!$D$4:$D$51,F$3,FNRG_ANTC!$E$4:$E$51,$B16),0)</f>
        <v>0</v>
      </c>
      <c r="G16" s="337">
        <f>IFERROR(SUMIFS(FNRG_ANTC!$I$4:$I$51,FNRG_ANTC!$D$4:$D$51,G$3,FNRG_ANTC!$E$4:$E$51,$B16),0)</f>
        <v>0</v>
      </c>
      <c r="H16" s="337">
        <f>IFERROR(SUMIFS(FNRG_ANTC!$I$4:$I$51,FNRG_ANTC!$D$4:$D$51,H$3,FNRG_ANTC!$E$4:$E$51,$B16),0)</f>
        <v>94.32</v>
      </c>
      <c r="I16" s="337">
        <f>IFERROR(SUMIFS(FNRG_ANTC!$I$4:$I$51,FNRG_ANTC!$D$4:$D$51,I$3,FNRG_ANTC!$E$4:$E$51,$B16),0)</f>
        <v>0</v>
      </c>
      <c r="J16" s="337">
        <f>IFERROR(SUMIFS(FNRG_ANTC!$I$4:$I$51,FNRG_ANTC!$D$4:$D$51,J$3,FNRG_ANTC!$E$4:$E$51,$B16),0)</f>
        <v>0</v>
      </c>
      <c r="K16" s="337">
        <f>IFERROR(SUMIFS(FNRG_ANTC!$I$4:$I$51,FNRG_ANTC!$D$4:$D$51,K$3,FNRG_ANTC!$E$4:$E$51,$B16),0)</f>
        <v>0</v>
      </c>
      <c r="L16" s="337">
        <f>IFERROR(SUMIFS(FNRG_ANTC!$I$4:$I$51,FNRG_ANTC!$D$4:$D$51,L$3,FNRG_ANTC!$E$4:$E$51,$B16),0)</f>
        <v>0</v>
      </c>
      <c r="M16" s="337">
        <f>IFERROR(SUMIFS(FNRG_ANTC!$I$4:$I$51,FNRG_ANTC!$D$4:$D$51,M$3,FNRG_ANTC!$E$4:$E$51,$B16),0)</f>
        <v>0</v>
      </c>
    </row>
    <row r="17" spans="1:13" x14ac:dyDescent="0.25">
      <c r="A17" s="211" t="s">
        <v>431</v>
      </c>
      <c r="B17" s="209" t="s">
        <v>253</v>
      </c>
      <c r="D17" s="337">
        <f>IFERROR(SUMIFS(FNRG_ANTC!$I$4:$I$51,FNRG_ANTC!$D$4:$D$51,D$3,FNRG_ANTC!$E$4:$E$51,$B17),0)</f>
        <v>0</v>
      </c>
      <c r="E17" s="337">
        <f>IFERROR(SUMIFS(FNRG_ANTC!$I$4:$I$51,FNRG_ANTC!$D$4:$D$51,E$3,FNRG_ANTC!$E$4:$E$51,$B17),0)</f>
        <v>21.25</v>
      </c>
      <c r="F17" s="337">
        <f>IFERROR(SUMIFS(FNRG_ANTC!$I$4:$I$51,FNRG_ANTC!$D$4:$D$51,F$3,FNRG_ANTC!$E$4:$E$51,$B17),0)</f>
        <v>0</v>
      </c>
      <c r="G17" s="337">
        <f>IFERROR(SUMIFS(FNRG_ANTC!$I$4:$I$51,FNRG_ANTC!$D$4:$D$51,G$3,FNRG_ANTC!$E$4:$E$51,$B17),0)</f>
        <v>0</v>
      </c>
      <c r="H17" s="337">
        <f>IFERROR(SUMIFS(FNRG_ANTC!$I$4:$I$51,FNRG_ANTC!$D$4:$D$51,H$3,FNRG_ANTC!$E$4:$E$51,$B17),0)</f>
        <v>0.21590000000000001</v>
      </c>
      <c r="I17" s="337">
        <f>IFERROR(SUMIFS(FNRG_ANTC!$I$4:$I$51,FNRG_ANTC!$D$4:$D$51,I$3,FNRG_ANTC!$E$4:$E$51,$B17),0)</f>
        <v>0</v>
      </c>
      <c r="J17" s="337">
        <f>IFERROR(SUMIFS(FNRG_ANTC!$I$4:$I$51,FNRG_ANTC!$D$4:$D$51,J$3,FNRG_ANTC!$E$4:$E$51,$B17),0)</f>
        <v>0</v>
      </c>
      <c r="K17" s="337">
        <f>IFERROR(SUMIFS(FNRG_ANTC!$I$4:$I$51,FNRG_ANTC!$D$4:$D$51,K$3,FNRG_ANTC!$E$4:$E$51,$B17),0)</f>
        <v>0</v>
      </c>
      <c r="L17" s="337">
        <f>IFERROR(SUMIFS(FNRG_ANTC!$I$4:$I$51,FNRG_ANTC!$D$4:$D$51,L$3,FNRG_ANTC!$E$4:$E$51,$B17),0)</f>
        <v>0</v>
      </c>
      <c r="M17" s="337">
        <f>IFERROR(SUMIFS(FNRG_ANTC!$I$4:$I$51,FNRG_ANTC!$D$4:$D$51,M$3,FNRG_ANTC!$E$4:$E$51,$B17),0)</f>
        <v>0</v>
      </c>
    </row>
    <row r="18" spans="1:13" x14ac:dyDescent="0.25">
      <c r="A18" s="211" t="s">
        <v>432</v>
      </c>
      <c r="B18" s="209" t="s">
        <v>259</v>
      </c>
      <c r="D18" s="337">
        <f>IFERROR(SUMIFS(FNRG_ANTC!$I$4:$I$51,FNRG_ANTC!$D$4:$D$51,D$3,FNRG_ANTC!$E$4:$E$51,$B18),0)</f>
        <v>0</v>
      </c>
      <c r="E18" s="337">
        <f>IFERROR(SUMIFS(FNRG_ANTC!$I$4:$I$51,FNRG_ANTC!$D$4:$D$51,E$3,FNRG_ANTC!$E$4:$E$51,$B18),0)</f>
        <v>7.3520000000000003</v>
      </c>
      <c r="F18" s="337">
        <f>IFERROR(SUMIFS(FNRG_ANTC!$I$4:$I$51,FNRG_ANTC!$D$4:$D$51,F$3,FNRG_ANTC!$E$4:$E$51,$B18),0)</f>
        <v>0</v>
      </c>
      <c r="G18" s="337">
        <f>IFERROR(SUMIFS(FNRG_ANTC!$I$4:$I$51,FNRG_ANTC!$D$4:$D$51,G$3,FNRG_ANTC!$E$4:$E$51,$B18),0)</f>
        <v>0</v>
      </c>
      <c r="H18" s="337">
        <f>IFERROR(SUMIFS(FNRG_ANTC!$I$4:$I$51,FNRG_ANTC!$D$4:$D$51,H$3,FNRG_ANTC!$E$4:$E$51,$B18),0)</f>
        <v>0</v>
      </c>
      <c r="I18" s="337">
        <f>IFERROR(SUMIFS(FNRG_ANTC!$I$4:$I$51,FNRG_ANTC!$D$4:$D$51,I$3,FNRG_ANTC!$E$4:$E$51,$B18),0)</f>
        <v>0</v>
      </c>
      <c r="J18" s="337">
        <f>IFERROR(SUMIFS(FNRG_ANTC!$I$4:$I$51,FNRG_ANTC!$D$4:$D$51,J$3,FNRG_ANTC!$E$4:$E$51,$B18),0)</f>
        <v>0</v>
      </c>
      <c r="K18" s="337">
        <f>IFERROR(SUMIFS(FNRG_ANTC!$I$4:$I$51,FNRG_ANTC!$D$4:$D$51,K$3,FNRG_ANTC!$E$4:$E$51,$B18),0)</f>
        <v>0</v>
      </c>
      <c r="L18" s="337">
        <f>IFERROR(SUMIFS(FNRG_ANTC!$I$4:$I$51,FNRG_ANTC!$D$4:$D$51,L$3,FNRG_ANTC!$E$4:$E$51,$B18),0)</f>
        <v>0</v>
      </c>
      <c r="M18" s="337">
        <f>IFERROR(SUMIFS(FNRG_ANTC!$I$4:$I$51,FNRG_ANTC!$D$4:$D$51,M$3,FNRG_ANTC!$E$4:$E$51,$B18),0)</f>
        <v>0</v>
      </c>
    </row>
    <row r="19" spans="1:13" x14ac:dyDescent="0.25">
      <c r="A19" s="211" t="s">
        <v>433</v>
      </c>
      <c r="B19" s="209" t="s">
        <v>261</v>
      </c>
      <c r="D19" s="337">
        <f>IFERROR(SUMIFS(FNRG_ANTC!$I$4:$I$51,FNRG_ANTC!$D$4:$D$51,D$3,FNRG_ANTC!$E$4:$E$51,$B19),0)</f>
        <v>0</v>
      </c>
      <c r="E19" s="337">
        <f>IFERROR(SUMIFS(FNRG_ANTC!$I$4:$I$51,FNRG_ANTC!$D$4:$D$51,E$3,FNRG_ANTC!$E$4:$E$51,$B19),0)</f>
        <v>27.66</v>
      </c>
      <c r="F19" s="337">
        <f>IFERROR(SUMIFS(FNRG_ANTC!$I$4:$I$51,FNRG_ANTC!$D$4:$D$51,F$3,FNRG_ANTC!$E$4:$E$51,$B19),0)</f>
        <v>0</v>
      </c>
      <c r="G19" s="337">
        <f>IFERROR(SUMIFS(FNRG_ANTC!$I$4:$I$51,FNRG_ANTC!$D$4:$D$51,G$3,FNRG_ANTC!$E$4:$E$51,$B19),0)</f>
        <v>0</v>
      </c>
      <c r="H19" s="337">
        <f>IFERROR(SUMIFS(FNRG_ANTC!$I$4:$I$51,FNRG_ANTC!$D$4:$D$51,H$3,FNRG_ANTC!$E$4:$E$51,$B19),0)</f>
        <v>0</v>
      </c>
      <c r="I19" s="337">
        <f>IFERROR(SUMIFS(FNRG_ANTC!$I$4:$I$51,FNRG_ANTC!$D$4:$D$51,I$3,FNRG_ANTC!$E$4:$E$51,$B19),0)</f>
        <v>0</v>
      </c>
      <c r="J19" s="337">
        <f>IFERROR(SUMIFS(FNRG_ANTC!$I$4:$I$51,FNRG_ANTC!$D$4:$D$51,J$3,FNRG_ANTC!$E$4:$E$51,$B19),0)</f>
        <v>0</v>
      </c>
      <c r="K19" s="337">
        <f>IFERROR(SUMIFS(FNRG_ANTC!$I$4:$I$51,FNRG_ANTC!$D$4:$D$51,K$3,FNRG_ANTC!$E$4:$E$51,$B19),0)</f>
        <v>0</v>
      </c>
      <c r="L19" s="337">
        <f>IFERROR(SUMIFS(FNRG_ANTC!$I$4:$I$51,FNRG_ANTC!$D$4:$D$51,L$3,FNRG_ANTC!$E$4:$E$51,$B19),0)</f>
        <v>0</v>
      </c>
      <c r="M19" s="337">
        <f>IFERROR(SUMIFS(FNRG_ANTC!$I$4:$I$51,FNRG_ANTC!$D$4:$D$51,M$3,FNRG_ANTC!$E$4:$E$51,$B19),0)</f>
        <v>0</v>
      </c>
    </row>
    <row r="20" spans="1:13" x14ac:dyDescent="0.25">
      <c r="A20" s="211" t="s">
        <v>434</v>
      </c>
      <c r="B20" s="209" t="s">
        <v>263</v>
      </c>
      <c r="D20" s="337">
        <f>IFERROR(SUMIFS(FNRG_ANTC!$I$4:$I$51,FNRG_ANTC!$D$4:$D$51,D$3,FNRG_ANTC!$E$4:$E$51,$B20),0)</f>
        <v>0</v>
      </c>
      <c r="E20" s="337">
        <f>IFERROR(SUMIFS(FNRG_ANTC!$I$4:$I$51,FNRG_ANTC!$D$4:$D$51,E$3,FNRG_ANTC!$E$4:$E$51,$B20),0)</f>
        <v>5.8369999999999997</v>
      </c>
      <c r="F20" s="337">
        <f>IFERROR(SUMIFS(FNRG_ANTC!$I$4:$I$51,FNRG_ANTC!$D$4:$D$51,F$3,FNRG_ANTC!$E$4:$E$51,$B20),0)</f>
        <v>0</v>
      </c>
      <c r="G20" s="337">
        <f>IFERROR(SUMIFS(FNRG_ANTC!$I$4:$I$51,FNRG_ANTC!$D$4:$D$51,G$3,FNRG_ANTC!$E$4:$E$51,$B20),0)</f>
        <v>0</v>
      </c>
      <c r="H20" s="337">
        <f>IFERROR(SUMIFS(FNRG_ANTC!$I$4:$I$51,FNRG_ANTC!$D$4:$D$51,H$3,FNRG_ANTC!$E$4:$E$51,$B20),0)</f>
        <v>0</v>
      </c>
      <c r="I20" s="337">
        <f>IFERROR(SUMIFS(FNRG_ANTC!$I$4:$I$51,FNRG_ANTC!$D$4:$D$51,I$3,FNRG_ANTC!$E$4:$E$51,$B20),0)</f>
        <v>0</v>
      </c>
      <c r="J20" s="337">
        <f>IFERROR(SUMIFS(FNRG_ANTC!$I$4:$I$51,FNRG_ANTC!$D$4:$D$51,J$3,FNRG_ANTC!$E$4:$E$51,$B20),0)</f>
        <v>0</v>
      </c>
      <c r="K20" s="337">
        <f>IFERROR(SUMIFS(FNRG_ANTC!$I$4:$I$51,FNRG_ANTC!$D$4:$D$51,K$3,FNRG_ANTC!$E$4:$E$51,$B20),0)</f>
        <v>0</v>
      </c>
      <c r="L20" s="337">
        <f>IFERROR(SUMIFS(FNRG_ANTC!$I$4:$I$51,FNRG_ANTC!$D$4:$D$51,L$3,FNRG_ANTC!$E$4:$E$51,$B20),0)</f>
        <v>0</v>
      </c>
      <c r="M20" s="337">
        <f>IFERROR(SUMIFS(FNRG_ANTC!$I$4:$I$51,FNRG_ANTC!$D$4:$D$51,M$3,FNRG_ANTC!$E$4:$E$51,$B20),0)</f>
        <v>0</v>
      </c>
    </row>
    <row r="21" spans="1:13" x14ac:dyDescent="0.25">
      <c r="A21" s="211" t="s">
        <v>435</v>
      </c>
      <c r="B21" s="209" t="s">
        <v>265</v>
      </c>
      <c r="D21" s="337">
        <f>IFERROR(SUMIFS(FNRG_ANTC!$I$4:$I$51,FNRG_ANTC!$D$4:$D$51,D$3,FNRG_ANTC!$E$4:$E$51,$B21),0)</f>
        <v>0</v>
      </c>
      <c r="E21" s="337">
        <f>IFERROR(SUMIFS(FNRG_ANTC!$I$4:$I$51,FNRG_ANTC!$D$4:$D$51,E$3,FNRG_ANTC!$E$4:$E$51,$B21),0)</f>
        <v>3.1549999999999998</v>
      </c>
      <c r="F21" s="337">
        <f>IFERROR(SUMIFS(FNRG_ANTC!$I$4:$I$51,FNRG_ANTC!$D$4:$D$51,F$3,FNRG_ANTC!$E$4:$E$51,$B21),0)</f>
        <v>0</v>
      </c>
      <c r="G21" s="337">
        <f>IFERROR(SUMIFS(FNRG_ANTC!$I$4:$I$51,FNRG_ANTC!$D$4:$D$51,G$3,FNRG_ANTC!$E$4:$E$51,$B21),0)</f>
        <v>0</v>
      </c>
      <c r="H21" s="337">
        <f>IFERROR(SUMIFS(FNRG_ANTC!$I$4:$I$51,FNRG_ANTC!$D$4:$D$51,H$3,FNRG_ANTC!$E$4:$E$51,$B21),0)</f>
        <v>0</v>
      </c>
      <c r="I21" s="337">
        <f>IFERROR(SUMIFS(FNRG_ANTC!$I$4:$I$51,FNRG_ANTC!$D$4:$D$51,I$3,FNRG_ANTC!$E$4:$E$51,$B21),0)</f>
        <v>0</v>
      </c>
      <c r="J21" s="337">
        <f>IFERROR(SUMIFS(FNRG_ANTC!$I$4:$I$51,FNRG_ANTC!$D$4:$D$51,J$3,FNRG_ANTC!$E$4:$E$51,$B21),0)</f>
        <v>0</v>
      </c>
      <c r="K21" s="337">
        <f>IFERROR(SUMIFS(FNRG_ANTC!$I$4:$I$51,FNRG_ANTC!$D$4:$D$51,K$3,FNRG_ANTC!$E$4:$E$51,$B21),0)</f>
        <v>0</v>
      </c>
      <c r="L21" s="337">
        <f>IFERROR(SUMIFS(FNRG_ANTC!$I$4:$I$51,FNRG_ANTC!$D$4:$D$51,L$3,FNRG_ANTC!$E$4:$E$51,$B21),0)</f>
        <v>0</v>
      </c>
      <c r="M21" s="337">
        <f>IFERROR(SUMIFS(FNRG_ANTC!$I$4:$I$51,FNRG_ANTC!$D$4:$D$51,M$3,FNRG_ANTC!$E$4:$E$51,$B21),0)</f>
        <v>0</v>
      </c>
    </row>
    <row r="22" spans="1:13" x14ac:dyDescent="0.25">
      <c r="A22" s="211" t="s">
        <v>436</v>
      </c>
      <c r="B22" s="209" t="s">
        <v>267</v>
      </c>
      <c r="D22" s="337">
        <f>IFERROR(SUMIFS(FNRG_ANTC!$I$4:$I$51,FNRG_ANTC!$D$4:$D$51,D$3,FNRG_ANTC!$E$4:$E$51,$B22),0)</f>
        <v>0</v>
      </c>
      <c r="E22" s="337">
        <f>IFERROR(SUMIFS(FNRG_ANTC!$I$4:$I$51,FNRG_ANTC!$D$4:$D$51,E$3,FNRG_ANTC!$E$4:$E$51,$B22),0)</f>
        <v>102.3</v>
      </c>
      <c r="F22" s="337">
        <f>IFERROR(SUMIFS(FNRG_ANTC!$I$4:$I$51,FNRG_ANTC!$D$4:$D$51,F$3,FNRG_ANTC!$E$4:$E$51,$B22),0)</f>
        <v>0</v>
      </c>
      <c r="G22" s="337">
        <f>IFERROR(SUMIFS(FNRG_ANTC!$I$4:$I$51,FNRG_ANTC!$D$4:$D$51,G$3,FNRG_ANTC!$E$4:$E$51,$B22),0)</f>
        <v>0</v>
      </c>
      <c r="H22" s="337">
        <f>IFERROR(SUMIFS(FNRG_ANTC!$I$4:$I$51,FNRG_ANTC!$D$4:$D$51,H$3,FNRG_ANTC!$E$4:$E$51,$B22),0)</f>
        <v>0</v>
      </c>
      <c r="I22" s="337">
        <f>IFERROR(SUMIFS(FNRG_ANTC!$I$4:$I$51,FNRG_ANTC!$D$4:$D$51,I$3,FNRG_ANTC!$E$4:$E$51,$B22),0)</f>
        <v>0</v>
      </c>
      <c r="J22" s="337">
        <f>IFERROR(SUMIFS(FNRG_ANTC!$I$4:$I$51,FNRG_ANTC!$D$4:$D$51,J$3,FNRG_ANTC!$E$4:$E$51,$B22),0)</f>
        <v>0</v>
      </c>
      <c r="K22" s="337">
        <f>IFERROR(SUMIFS(FNRG_ANTC!$I$4:$I$51,FNRG_ANTC!$D$4:$D$51,K$3,FNRG_ANTC!$E$4:$E$51,$B22),0)</f>
        <v>0</v>
      </c>
      <c r="L22" s="337">
        <f>IFERROR(SUMIFS(FNRG_ANTC!$I$4:$I$51,FNRG_ANTC!$D$4:$D$51,L$3,FNRG_ANTC!$E$4:$E$51,$B22),0)</f>
        <v>0</v>
      </c>
      <c r="M22" s="337">
        <f>IFERROR(SUMIFS(FNRG_ANTC!$I$4:$I$51,FNRG_ANTC!$D$4:$D$51,M$3,FNRG_ANTC!$E$4:$E$51,$B22),0)</f>
        <v>0</v>
      </c>
    </row>
    <row r="23" spans="1:13" x14ac:dyDescent="0.25">
      <c r="A23" s="211" t="s">
        <v>437</v>
      </c>
      <c r="B23" s="209" t="s">
        <v>270</v>
      </c>
      <c r="D23" s="337">
        <f>IFERROR(SUMIFS(FNRG_ANTC!$I$4:$I$51,FNRG_ANTC!$D$4:$D$51,D$3,FNRG_ANTC!$E$4:$E$51,$B23),0)</f>
        <v>0</v>
      </c>
      <c r="E23" s="337">
        <f>IFERROR(SUMIFS(FNRG_ANTC!$I$4:$I$51,FNRG_ANTC!$D$4:$D$51,E$3,FNRG_ANTC!$E$4:$E$51,$B23),0)</f>
        <v>31.66</v>
      </c>
      <c r="F23" s="337">
        <f>IFERROR(SUMIFS(FNRG_ANTC!$I$4:$I$51,FNRG_ANTC!$D$4:$D$51,F$3,FNRG_ANTC!$E$4:$E$51,$B23),0)</f>
        <v>0</v>
      </c>
      <c r="G23" s="337">
        <f>IFERROR(SUMIFS(FNRG_ANTC!$I$4:$I$51,FNRG_ANTC!$D$4:$D$51,G$3,FNRG_ANTC!$E$4:$E$51,$B23),0)</f>
        <v>0</v>
      </c>
      <c r="H23" s="337">
        <f>IFERROR(SUMIFS(FNRG_ANTC!$I$4:$I$51,FNRG_ANTC!$D$4:$D$51,H$3,FNRG_ANTC!$E$4:$E$51,$B23),0)</f>
        <v>0</v>
      </c>
      <c r="I23" s="337">
        <f>IFERROR(SUMIFS(FNRG_ANTC!$I$4:$I$51,FNRG_ANTC!$D$4:$D$51,I$3,FNRG_ANTC!$E$4:$E$51,$B23),0)</f>
        <v>0</v>
      </c>
      <c r="J23" s="337">
        <f>IFERROR(SUMIFS(FNRG_ANTC!$I$4:$I$51,FNRG_ANTC!$D$4:$D$51,J$3,FNRG_ANTC!$E$4:$E$51,$B23),0)</f>
        <v>0</v>
      </c>
      <c r="K23" s="337">
        <f>IFERROR(SUMIFS(FNRG_ANTC!$I$4:$I$51,FNRG_ANTC!$D$4:$D$51,K$3,FNRG_ANTC!$E$4:$E$51,$B23),0)</f>
        <v>0</v>
      </c>
      <c r="L23" s="337">
        <f>IFERROR(SUMIFS(FNRG_ANTC!$I$4:$I$51,FNRG_ANTC!$D$4:$D$51,L$3,FNRG_ANTC!$E$4:$E$51,$B23),0)</f>
        <v>0</v>
      </c>
      <c r="M23" s="337">
        <f>IFERROR(SUMIFS(FNRG_ANTC!$I$4:$I$51,FNRG_ANTC!$D$4:$D$51,M$3,FNRG_ANTC!$E$4:$E$51,$B23),0)</f>
        <v>0</v>
      </c>
    </row>
    <row r="24" spans="1:13" x14ac:dyDescent="0.25">
      <c r="A24" s="211" t="s">
        <v>438</v>
      </c>
      <c r="B24" s="209" t="s">
        <v>272</v>
      </c>
      <c r="D24" s="337">
        <f>IFERROR(SUMIFS(FNRG_ANTC!$I$4:$I$51,FNRG_ANTC!$D$4:$D$51,D$3,FNRG_ANTC!$E$4:$E$51,$B24),0)</f>
        <v>0</v>
      </c>
      <c r="E24" s="337">
        <f>IFERROR(SUMIFS(FNRG_ANTC!$I$4:$I$51,FNRG_ANTC!$D$4:$D$51,E$3,FNRG_ANTC!$E$4:$E$51,$B24),0)</f>
        <v>1.766</v>
      </c>
      <c r="F24" s="337">
        <f>IFERROR(SUMIFS(FNRG_ANTC!$I$4:$I$51,FNRG_ANTC!$D$4:$D$51,F$3,FNRG_ANTC!$E$4:$E$51,$B24),0)</f>
        <v>0</v>
      </c>
      <c r="G24" s="337">
        <f>IFERROR(SUMIFS(FNRG_ANTC!$I$4:$I$51,FNRG_ANTC!$D$4:$D$51,G$3,FNRG_ANTC!$E$4:$E$51,$B24),0)</f>
        <v>0</v>
      </c>
      <c r="H24" s="337">
        <f>IFERROR(SUMIFS(FNRG_ANTC!$I$4:$I$51,FNRG_ANTC!$D$4:$D$51,H$3,FNRG_ANTC!$E$4:$E$51,$B24),0)</f>
        <v>0</v>
      </c>
      <c r="I24" s="337">
        <f>IFERROR(SUMIFS(FNRG_ANTC!$I$4:$I$51,FNRG_ANTC!$D$4:$D$51,I$3,FNRG_ANTC!$E$4:$E$51,$B24),0)</f>
        <v>0</v>
      </c>
      <c r="J24" s="337">
        <f>IFERROR(SUMIFS(FNRG_ANTC!$I$4:$I$51,FNRG_ANTC!$D$4:$D$51,J$3,FNRG_ANTC!$E$4:$E$51,$B24),0)</f>
        <v>0</v>
      </c>
      <c r="K24" s="337">
        <f>IFERROR(SUMIFS(FNRG_ANTC!$I$4:$I$51,FNRG_ANTC!$D$4:$D$51,K$3,FNRG_ANTC!$E$4:$E$51,$B24),0)</f>
        <v>0</v>
      </c>
      <c r="L24" s="337">
        <f>IFERROR(SUMIFS(FNRG_ANTC!$I$4:$I$51,FNRG_ANTC!$D$4:$D$51,L$3,FNRG_ANTC!$E$4:$E$51,$B24),0)</f>
        <v>0</v>
      </c>
      <c r="M24" s="337">
        <f>IFERROR(SUMIFS(FNRG_ANTC!$I$4:$I$51,FNRG_ANTC!$D$4:$D$51,M$3,FNRG_ANTC!$E$4:$E$51,$B24),0)</f>
        <v>0</v>
      </c>
    </row>
    <row r="25" spans="1:13" x14ac:dyDescent="0.25">
      <c r="A25" s="211" t="s">
        <v>439</v>
      </c>
      <c r="B25" s="209" t="s">
        <v>274</v>
      </c>
      <c r="D25" s="337">
        <f>IFERROR(SUMIFS(FNRG_ANTC!$I$4:$I$51,FNRG_ANTC!$D$4:$D$51,D$3,FNRG_ANTC!$E$4:$E$51,$B25),0)</f>
        <v>0</v>
      </c>
      <c r="E25" s="337">
        <f>IFERROR(SUMIFS(FNRG_ANTC!$I$4:$I$51,FNRG_ANTC!$D$4:$D$51,E$3,FNRG_ANTC!$E$4:$E$51,$B25),0)</f>
        <v>0.54090000000000005</v>
      </c>
      <c r="F25" s="337">
        <f>IFERROR(SUMIFS(FNRG_ANTC!$I$4:$I$51,FNRG_ANTC!$D$4:$D$51,F$3,FNRG_ANTC!$E$4:$E$51,$B25),0)</f>
        <v>0</v>
      </c>
      <c r="G25" s="337">
        <f>IFERROR(SUMIFS(FNRG_ANTC!$I$4:$I$51,FNRG_ANTC!$D$4:$D$51,G$3,FNRG_ANTC!$E$4:$E$51,$B25),0)</f>
        <v>0</v>
      </c>
      <c r="H25" s="337">
        <f>IFERROR(SUMIFS(FNRG_ANTC!$I$4:$I$51,FNRG_ANTC!$D$4:$D$51,H$3,FNRG_ANTC!$E$4:$E$51,$B25),0)</f>
        <v>0</v>
      </c>
      <c r="I25" s="337">
        <f>IFERROR(SUMIFS(FNRG_ANTC!$I$4:$I$51,FNRG_ANTC!$D$4:$D$51,I$3,FNRG_ANTC!$E$4:$E$51,$B25),0)</f>
        <v>0</v>
      </c>
      <c r="J25" s="337">
        <f>IFERROR(SUMIFS(FNRG_ANTC!$I$4:$I$51,FNRG_ANTC!$D$4:$D$51,J$3,FNRG_ANTC!$E$4:$E$51,$B25),0)</f>
        <v>0</v>
      </c>
      <c r="K25" s="337">
        <f>IFERROR(SUMIFS(FNRG_ANTC!$I$4:$I$51,FNRG_ANTC!$D$4:$D$51,K$3,FNRG_ANTC!$E$4:$E$51,$B25),0)</f>
        <v>0</v>
      </c>
      <c r="L25" s="337">
        <f>IFERROR(SUMIFS(FNRG_ANTC!$I$4:$I$51,FNRG_ANTC!$D$4:$D$51,L$3,FNRG_ANTC!$E$4:$E$51,$B25),0)</f>
        <v>0</v>
      </c>
      <c r="M25" s="337">
        <f>IFERROR(SUMIFS(FNRG_ANTC!$I$4:$I$51,FNRG_ANTC!$D$4:$D$51,M$3,FNRG_ANTC!$E$4:$E$51,$B25),0)</f>
        <v>0</v>
      </c>
    </row>
    <row r="26" spans="1:13" x14ac:dyDescent="0.25">
      <c r="A26" s="211" t="s">
        <v>440</v>
      </c>
      <c r="B26" s="209" t="s">
        <v>441</v>
      </c>
      <c r="D26" s="337">
        <f>IFERROR(SUMIFS(FNRG_ANTC!$I$4:$I$51,FNRG_ANTC!$D$4:$D$51,D$3,FNRG_ANTC!$E$4:$E$51,$B26),0)</f>
        <v>0</v>
      </c>
      <c r="E26" s="337">
        <f>IFERROR(SUMIFS(FNRG_ANTC!$I$4:$I$51,FNRG_ANTC!$D$4:$D$51,E$3,FNRG_ANTC!$E$4:$E$51,$B26),0)</f>
        <v>2.5605771444500771</v>
      </c>
      <c r="F26" s="337">
        <f>IFERROR(SUMIFS(FNRG_ANTC!$I$4:$I$51,FNRG_ANTC!$D$4:$D$51,F$3,FNRG_ANTC!$E$4:$E$51,$B26),0)</f>
        <v>3.6787586919604651</v>
      </c>
      <c r="G26" s="337">
        <f>IFERROR(SUMIFS(FNRG_ANTC!$I$4:$I$51,FNRG_ANTC!$D$4:$D$51,G$3,FNRG_ANTC!$E$4:$E$51,$B26),0)</f>
        <v>0</v>
      </c>
      <c r="H26" s="337">
        <f>IFERROR(SUMIFS(FNRG_ANTC!$I$4:$I$51,FNRG_ANTC!$D$4:$D$51,H$3,FNRG_ANTC!$E$4:$E$51,$B26),0)</f>
        <v>0</v>
      </c>
      <c r="I26" s="337">
        <f>IFERROR(SUMIFS(FNRG_ANTC!$I$4:$I$51,FNRG_ANTC!$D$4:$D$51,I$3,FNRG_ANTC!$E$4:$E$51,$B26),0)</f>
        <v>0</v>
      </c>
      <c r="J26" s="337">
        <f>IFERROR(SUMIFS(FNRG_ANTC!$I$4:$I$51,FNRG_ANTC!$D$4:$D$51,J$3,FNRG_ANTC!$E$4:$E$51,$B26),0)</f>
        <v>0</v>
      </c>
      <c r="K26" s="337">
        <f>IFERROR(SUMIFS(FNRG_ANTC!$I$4:$I$51,FNRG_ANTC!$D$4:$D$51,K$3,FNRG_ANTC!$E$4:$E$51,$B26),0)</f>
        <v>0</v>
      </c>
      <c r="L26" s="337">
        <f>IFERROR(SUMIFS(FNRG_ANTC!$I$4:$I$51,FNRG_ANTC!$D$4:$D$51,L$3,FNRG_ANTC!$E$4:$E$51,$B26),0)</f>
        <v>0</v>
      </c>
      <c r="M26" s="337">
        <f>IFERROR(SUMIFS(FNRG_ANTC!$I$4:$I$51,FNRG_ANTC!$D$4:$D$51,M$3,FNRG_ANTC!$E$4:$E$51,$B26),0)</f>
        <v>0</v>
      </c>
    </row>
    <row r="27" spans="1:13" x14ac:dyDescent="0.25">
      <c r="A27" s="211" t="s">
        <v>442</v>
      </c>
      <c r="B27" s="209" t="s">
        <v>443</v>
      </c>
      <c r="D27" s="337">
        <f>IFERROR(SUMIFS(FNRG_ANTC!$I$4:$I$51,FNRG_ANTC!$D$4:$D$51,D$3,FNRG_ANTC!$E$4:$E$51,$B27),0)</f>
        <v>0</v>
      </c>
      <c r="E27" s="337">
        <f>IFERROR(SUMIFS(FNRG_ANTC!$I$4:$I$51,FNRG_ANTC!$D$4:$D$51,E$3,FNRG_ANTC!$E$4:$E$51,$B27),0)</f>
        <v>1.2585029337895188</v>
      </c>
      <c r="F27" s="337">
        <f>IFERROR(SUMIFS(FNRG_ANTC!$I$4:$I$51,FNRG_ANTC!$D$4:$D$51,F$3,FNRG_ANTC!$E$4:$E$51,$B27),0)</f>
        <v>1.8080801105995357</v>
      </c>
      <c r="G27" s="337">
        <f>IFERROR(SUMIFS(FNRG_ANTC!$I$4:$I$51,FNRG_ANTC!$D$4:$D$51,G$3,FNRG_ANTC!$E$4:$E$51,$B27),0)</f>
        <v>0</v>
      </c>
      <c r="H27" s="337">
        <f>IFERROR(SUMIFS(FNRG_ANTC!$I$4:$I$51,FNRG_ANTC!$D$4:$D$51,H$3,FNRG_ANTC!$E$4:$E$51,$B27),0)</f>
        <v>0</v>
      </c>
      <c r="I27" s="337">
        <f>IFERROR(SUMIFS(FNRG_ANTC!$I$4:$I$51,FNRG_ANTC!$D$4:$D$51,I$3,FNRG_ANTC!$E$4:$E$51,$B27),0)</f>
        <v>0</v>
      </c>
      <c r="J27" s="337">
        <f>IFERROR(SUMIFS(FNRG_ANTC!$I$4:$I$51,FNRG_ANTC!$D$4:$D$51,J$3,FNRG_ANTC!$E$4:$E$51,$B27),0)</f>
        <v>0</v>
      </c>
      <c r="K27" s="337">
        <f>IFERROR(SUMIFS(FNRG_ANTC!$I$4:$I$51,FNRG_ANTC!$D$4:$D$51,K$3,FNRG_ANTC!$E$4:$E$51,$B27),0)</f>
        <v>0</v>
      </c>
      <c r="L27" s="337">
        <f>IFERROR(SUMIFS(FNRG_ANTC!$I$4:$I$51,FNRG_ANTC!$D$4:$D$51,L$3,FNRG_ANTC!$E$4:$E$51,$B27),0)</f>
        <v>0</v>
      </c>
      <c r="M27" s="337">
        <f>IFERROR(SUMIFS(FNRG_ANTC!$I$4:$I$51,FNRG_ANTC!$D$4:$D$51,M$3,FNRG_ANTC!$E$4:$E$51,$B27),0)</f>
        <v>0</v>
      </c>
    </row>
    <row r="28" spans="1:13" x14ac:dyDescent="0.25">
      <c r="A28" s="211" t="s">
        <v>444</v>
      </c>
      <c r="B28" s="209" t="s">
        <v>445</v>
      </c>
      <c r="D28" s="337">
        <f>IFERROR(SUMIFS(FNRG_ANTC!$I$4:$I$51,FNRG_ANTC!$D$4:$D$51,D$3,FNRG_ANTC!$E$4:$E$51,$B28),0)</f>
        <v>0</v>
      </c>
      <c r="E28" s="337">
        <f>IFERROR(SUMIFS(FNRG_ANTC!$I$4:$I$51,FNRG_ANTC!$D$4:$D$51,E$3,FNRG_ANTC!$E$4:$E$51,$B28),0)</f>
        <v>2.6539370035224303</v>
      </c>
      <c r="F28" s="337">
        <f>IFERROR(SUMIFS(FNRG_ANTC!$I$4:$I$51,FNRG_ANTC!$D$4:$D$51,F$3,FNRG_ANTC!$E$4:$E$51,$B28),0)</f>
        <v>3.8128879814399999</v>
      </c>
      <c r="G28" s="337">
        <f>IFERROR(SUMIFS(FNRG_ANTC!$I$4:$I$51,FNRG_ANTC!$D$4:$D$51,G$3,FNRG_ANTC!$E$4:$E$51,$B28),0)</f>
        <v>0</v>
      </c>
      <c r="H28" s="337">
        <f>IFERROR(SUMIFS(FNRG_ANTC!$I$4:$I$51,FNRG_ANTC!$D$4:$D$51,H$3,FNRG_ANTC!$E$4:$E$51,$B28),0)</f>
        <v>0</v>
      </c>
      <c r="I28" s="337">
        <f>IFERROR(SUMIFS(FNRG_ANTC!$I$4:$I$51,FNRG_ANTC!$D$4:$D$51,I$3,FNRG_ANTC!$E$4:$E$51,$B28),0)</f>
        <v>0</v>
      </c>
      <c r="J28" s="337">
        <f>IFERROR(SUMIFS(FNRG_ANTC!$I$4:$I$51,FNRG_ANTC!$D$4:$D$51,J$3,FNRG_ANTC!$E$4:$E$51,$B28),0)</f>
        <v>0</v>
      </c>
      <c r="K28" s="337">
        <f>IFERROR(SUMIFS(FNRG_ANTC!$I$4:$I$51,FNRG_ANTC!$D$4:$D$51,K$3,FNRG_ANTC!$E$4:$E$51,$B28),0)</f>
        <v>0</v>
      </c>
      <c r="L28" s="337">
        <f>IFERROR(SUMIFS(FNRG_ANTC!$I$4:$I$51,FNRG_ANTC!$D$4:$D$51,L$3,FNRG_ANTC!$E$4:$E$51,$B28),0)</f>
        <v>0</v>
      </c>
      <c r="M28" s="337">
        <f>IFERROR(SUMIFS(FNRG_ANTC!$I$4:$I$51,FNRG_ANTC!$D$4:$D$51,M$3,FNRG_ANTC!$E$4:$E$51,$B28),0)</f>
        <v>0</v>
      </c>
    </row>
    <row r="29" spans="1:13" x14ac:dyDescent="0.25">
      <c r="A29" s="211"/>
      <c r="B29" s="209"/>
      <c r="D29" s="338">
        <f>SUM(D16:D28)</f>
        <v>0</v>
      </c>
      <c r="E29" s="338">
        <f t="shared" ref="E29:M29" si="1">SUM(E16:E28)</f>
        <v>327.19391708176209</v>
      </c>
      <c r="F29" s="338">
        <f t="shared" si="1"/>
        <v>9.2997267840000006</v>
      </c>
      <c r="G29" s="338">
        <f t="shared" si="1"/>
        <v>0</v>
      </c>
      <c r="H29" s="338">
        <f t="shared" si="1"/>
        <v>94.535899999999998</v>
      </c>
      <c r="I29" s="338">
        <f t="shared" si="1"/>
        <v>0</v>
      </c>
      <c r="J29" s="338">
        <f t="shared" si="1"/>
        <v>0</v>
      </c>
      <c r="K29" s="338">
        <f t="shared" si="1"/>
        <v>0</v>
      </c>
      <c r="L29" s="338">
        <f t="shared" si="1"/>
        <v>0</v>
      </c>
      <c r="M29" s="338">
        <f t="shared" si="1"/>
        <v>0</v>
      </c>
    </row>
    <row r="30" spans="1:13" x14ac:dyDescent="0.25">
      <c r="A30" s="213" t="s">
        <v>446</v>
      </c>
      <c r="D30" s="337"/>
      <c r="E30" s="337"/>
      <c r="F30" s="337"/>
      <c r="G30" s="337"/>
      <c r="H30" s="337"/>
      <c r="I30" s="337"/>
      <c r="J30" s="337"/>
      <c r="K30" s="337"/>
      <c r="L30" s="337"/>
      <c r="M30" s="337"/>
    </row>
    <row r="31" spans="1:13" x14ac:dyDescent="0.25">
      <c r="A31" s="211" t="s">
        <v>447</v>
      </c>
      <c r="B31" s="209" t="s">
        <v>448</v>
      </c>
      <c r="D31" s="337">
        <f>IFERROR(SUMIFS(FNRG_ANTC!$I$4:$I$51,FNRG_ANTC!$D$4:$D$51,D$3,FNRG_ANTC!$E$4:$E$51,$B31),0)</f>
        <v>0</v>
      </c>
      <c r="E31" s="337">
        <f>IFERROR(SUMIFS(FNRG_ANTC!$I$4:$I$51,FNRG_ANTC!$D$4:$D$51,E$3,FNRG_ANTC!$E$4:$E$51,$B31),0)</f>
        <v>0</v>
      </c>
      <c r="F31" s="337">
        <f>IFERROR(SUMIFS(FNRG_ANTC!$I$4:$I$51,FNRG_ANTC!$D$4:$D$51,F$3,FNRG_ANTC!$E$4:$E$51,$B31),0)</f>
        <v>1.641128256</v>
      </c>
      <c r="G31" s="337">
        <f>IFERROR(SUMIFS(FNRG_ANTC!$I$4:$I$51,FNRG_ANTC!$D$4:$D$51,G$3,FNRG_ANTC!$E$4:$E$51,$B31),0)</f>
        <v>0</v>
      </c>
      <c r="H31" s="337">
        <f>IFERROR(SUMIFS(FNRG_ANTC!$I$4:$I$51,FNRG_ANTC!$D$4:$D$51,H$3,FNRG_ANTC!$E$4:$E$51,$B31),0)</f>
        <v>0</v>
      </c>
      <c r="I31" s="337">
        <f>IFERROR(SUMIFS(FNRG_ANTC!$I$4:$I$51,FNRG_ANTC!$D$4:$D$51,I$3,FNRG_ANTC!$E$4:$E$51,$B31),0)</f>
        <v>0</v>
      </c>
      <c r="J31" s="337">
        <f>IFERROR(SUMIFS(FNRG_ANTC!$I$4:$I$51,FNRG_ANTC!$D$4:$D$51,J$3,FNRG_ANTC!$E$4:$E$51,$B31),0)</f>
        <v>0</v>
      </c>
      <c r="K31" s="337">
        <f>IFERROR(SUMIFS(FNRG_ANTC!$I$4:$I$51,FNRG_ANTC!$D$4:$D$51,K$3,FNRG_ANTC!$E$4:$E$51,$B31),0)</f>
        <v>0</v>
      </c>
      <c r="L31" s="337">
        <f>IFERROR(SUMIFS(FNRG_ANTC!$I$4:$I$51,FNRG_ANTC!$D$4:$D$51,L$3,FNRG_ANTC!$E$4:$E$51,$B31),0)</f>
        <v>0</v>
      </c>
      <c r="M31" s="337">
        <f>IFERROR(SUMIFS(FNRG_ANTC!$I$4:$I$51,FNRG_ANTC!$D$4:$D$51,M$3,FNRG_ANTC!$E$4:$E$51,$B31),0)</f>
        <v>0</v>
      </c>
    </row>
    <row r="32" spans="1:13" x14ac:dyDescent="0.25">
      <c r="A32" s="211" t="s">
        <v>449</v>
      </c>
      <c r="B32" s="209" t="s">
        <v>450</v>
      </c>
      <c r="D32" s="337">
        <f>IFERROR(SUMIFS(FNRG_ANTC!$I$4:$I$51,FNRG_ANTC!$D$4:$D$51,D$3,FNRG_ANTC!$E$4:$E$51,$B32),0)</f>
        <v>0</v>
      </c>
      <c r="E32" s="337">
        <f>IFERROR(SUMIFS(FNRG_ANTC!$I$4:$I$51,FNRG_ANTC!$D$4:$D$51,E$3,FNRG_ANTC!$E$4:$E$51,$B32),0)</f>
        <v>0</v>
      </c>
      <c r="F32" s="337">
        <f>IFERROR(SUMIFS(FNRG_ANTC!$I$4:$I$51,FNRG_ANTC!$D$4:$D$51,F$3,FNRG_ANTC!$E$4:$E$51,$B32),0)</f>
        <v>0</v>
      </c>
      <c r="G32" s="337">
        <f>IFERROR(SUMIFS(FNRG_ANTC!$I$4:$I$51,FNRG_ANTC!$D$4:$D$51,G$3,FNRG_ANTC!$E$4:$E$51,$B32),0)</f>
        <v>0</v>
      </c>
      <c r="H32" s="337">
        <f>IFERROR(SUMIFS(FNRG_ANTC!$I$4:$I$51,FNRG_ANTC!$D$4:$D$51,H$3,FNRG_ANTC!$E$4:$E$51,$B32),0)</f>
        <v>0</v>
      </c>
      <c r="I32" s="337">
        <f>IFERROR(SUMIFS(FNRG_ANTC!$I$4:$I$51,FNRG_ANTC!$D$4:$D$51,I$3,FNRG_ANTC!$E$4:$E$51,$B32),0)</f>
        <v>0</v>
      </c>
      <c r="J32" s="337">
        <f>IFERROR(SUMIFS(FNRG_ANTC!$I$4:$I$51,FNRG_ANTC!$D$4:$D$51,J$3,FNRG_ANTC!$E$4:$E$51,$B32),0)</f>
        <v>68.938999999999993</v>
      </c>
      <c r="K32" s="337">
        <f>IFERROR(SUMIFS(FNRG_ANTC!$I$4:$I$51,FNRG_ANTC!$D$4:$D$51,K$3,FNRG_ANTC!$E$4:$E$51,$B32),0)</f>
        <v>0</v>
      </c>
      <c r="L32" s="337">
        <f>IFERROR(SUMIFS(FNRG_ANTC!$I$4:$I$51,FNRG_ANTC!$D$4:$D$51,L$3,FNRG_ANTC!$E$4:$E$51,$B32),0)</f>
        <v>0</v>
      </c>
      <c r="M32" s="337">
        <f>IFERROR(SUMIFS(FNRG_ANTC!$I$4:$I$51,FNRG_ANTC!$D$4:$D$51,M$3,FNRG_ANTC!$E$4:$E$51,$B32),0)</f>
        <v>0</v>
      </c>
    </row>
    <row r="33" spans="1:13" x14ac:dyDescent="0.25">
      <c r="A33" s="211" t="s">
        <v>451</v>
      </c>
      <c r="B33" s="209" t="s">
        <v>452</v>
      </c>
      <c r="D33" s="337">
        <f>IFERROR(SUMIFS(FNRG_ANTC!$I$4:$I$51,FNRG_ANTC!$D$4:$D$51,D$3,FNRG_ANTC!$E$4:$E$51,$B33),0)</f>
        <v>0</v>
      </c>
      <c r="E33" s="337">
        <f>IFERROR(SUMIFS(FNRG_ANTC!$I$4:$I$51,FNRG_ANTC!$D$4:$D$51,E$3,FNRG_ANTC!$E$4:$E$51,$B33),0)</f>
        <v>0</v>
      </c>
      <c r="F33" s="337">
        <f>IFERROR(SUMIFS(FNRG_ANTC!$I$4:$I$51,FNRG_ANTC!$D$4:$D$51,F$3,FNRG_ANTC!$E$4:$E$51,$B33),0)</f>
        <v>0</v>
      </c>
      <c r="G33" s="337">
        <f>IFERROR(SUMIFS(FNRG_ANTC!$I$4:$I$51,FNRG_ANTC!$D$4:$D$51,G$3,FNRG_ANTC!$E$4:$E$51,$B33),0)</f>
        <v>0</v>
      </c>
      <c r="H33" s="337">
        <f>IFERROR(SUMIFS(FNRG_ANTC!$I$4:$I$51,FNRG_ANTC!$D$4:$D$51,H$3,FNRG_ANTC!$E$4:$E$51,$B33),0)</f>
        <v>0</v>
      </c>
      <c r="I33" s="337">
        <f>IFERROR(SUMIFS(FNRG_ANTC!$I$4:$I$51,FNRG_ANTC!$D$4:$D$51,I$3,FNRG_ANTC!$E$4:$E$51,$B33),0)</f>
        <v>0</v>
      </c>
      <c r="J33" s="337">
        <f>IFERROR(SUMIFS(FNRG_ANTC!$I$4:$I$51,FNRG_ANTC!$D$4:$D$51,J$3,FNRG_ANTC!$E$4:$E$51,$B33),0)</f>
        <v>20.483000000000001</v>
      </c>
      <c r="K33" s="337">
        <f>IFERROR(SUMIFS(FNRG_ANTC!$I$4:$I$51,FNRG_ANTC!$D$4:$D$51,K$3,FNRG_ANTC!$E$4:$E$51,$B33),0)</f>
        <v>0</v>
      </c>
      <c r="L33" s="337">
        <f>IFERROR(SUMIFS(FNRG_ANTC!$I$4:$I$51,FNRG_ANTC!$D$4:$D$51,L$3,FNRG_ANTC!$E$4:$E$51,$B33),0)</f>
        <v>0</v>
      </c>
      <c r="M33" s="337">
        <f>IFERROR(SUMIFS(FNRG_ANTC!$I$4:$I$51,FNRG_ANTC!$D$4:$D$51,M$3,FNRG_ANTC!$E$4:$E$51,$B33),0)</f>
        <v>0</v>
      </c>
    </row>
    <row r="34" spans="1:13" x14ac:dyDescent="0.25">
      <c r="A34" s="211" t="s">
        <v>453</v>
      </c>
      <c r="B34" s="209" t="s">
        <v>454</v>
      </c>
      <c r="D34" s="337">
        <f>IFERROR(SUMIFS(FNRG_ANTC!$I$4:$I$51,FNRG_ANTC!$D$4:$D$51,D$3,FNRG_ANTC!$E$4:$E$51,$B34),0)</f>
        <v>0.82200000000000006</v>
      </c>
      <c r="E34" s="337">
        <f>IFERROR(SUMIFS(FNRG_ANTC!$I$4:$I$51,FNRG_ANTC!$D$4:$D$51,E$3,FNRG_ANTC!$E$4:$E$51,$B34),0)</f>
        <v>0</v>
      </c>
      <c r="F34" s="337">
        <f>IFERROR(SUMIFS(FNRG_ANTC!$I$4:$I$51,FNRG_ANTC!$D$4:$D$51,F$3,FNRG_ANTC!$E$4:$E$51,$B34),0)</f>
        <v>0</v>
      </c>
      <c r="G34" s="337">
        <f>IFERROR(SUMIFS(FNRG_ANTC!$I$4:$I$51,FNRG_ANTC!$D$4:$D$51,G$3,FNRG_ANTC!$E$4:$E$51,$B34),0)</f>
        <v>0</v>
      </c>
      <c r="H34" s="337">
        <f>IFERROR(SUMIFS(FNRG_ANTC!$I$4:$I$51,FNRG_ANTC!$D$4:$D$51,H$3,FNRG_ANTC!$E$4:$E$51,$B34),0)</f>
        <v>0</v>
      </c>
      <c r="I34" s="337">
        <f>IFERROR(SUMIFS(FNRG_ANTC!$I$4:$I$51,FNRG_ANTC!$D$4:$D$51,I$3,FNRG_ANTC!$E$4:$E$51,$B34),0)</f>
        <v>0</v>
      </c>
      <c r="J34" s="337">
        <f>IFERROR(SUMIFS(FNRG_ANTC!$I$4:$I$51,FNRG_ANTC!$D$4:$D$51,J$3,FNRG_ANTC!$E$4:$E$51,$B34),0)</f>
        <v>0</v>
      </c>
      <c r="K34" s="337">
        <f>IFERROR(SUMIFS(FNRG_ANTC!$I$4:$I$51,FNRG_ANTC!$D$4:$D$51,K$3,FNRG_ANTC!$E$4:$E$51,$B34),0)</f>
        <v>0</v>
      </c>
      <c r="L34" s="337">
        <f>IFERROR(SUMIFS(FNRG_ANTC!$I$4:$I$51,FNRG_ANTC!$D$4:$D$51,L$3,FNRG_ANTC!$E$4:$E$51,$B34),0)</f>
        <v>0</v>
      </c>
      <c r="M34" s="337">
        <f>IFERROR(SUMIFS(FNRG_ANTC!$I$4:$I$51,FNRG_ANTC!$D$4:$D$51,M$3,FNRG_ANTC!$E$4:$E$51,$B34),0)</f>
        <v>0</v>
      </c>
    </row>
    <row r="35" spans="1:13" x14ac:dyDescent="0.25">
      <c r="A35" s="211" t="s">
        <v>455</v>
      </c>
      <c r="B35" s="209" t="s">
        <v>456</v>
      </c>
      <c r="D35" s="337">
        <f>IFERROR(SUMIFS(FNRG_ANTC!$I$4:$I$51,FNRG_ANTC!$D$4:$D$51,D$3,FNRG_ANTC!$E$4:$E$51,$B35),0)</f>
        <v>0</v>
      </c>
      <c r="E35" s="337">
        <f>IFERROR(SUMIFS(FNRG_ANTC!$I$4:$I$51,FNRG_ANTC!$D$4:$D$51,E$3,FNRG_ANTC!$E$4:$E$51,$B35),0)</f>
        <v>0</v>
      </c>
      <c r="F35" s="337">
        <f>IFERROR(SUMIFS(FNRG_ANTC!$I$4:$I$51,FNRG_ANTC!$D$4:$D$51,F$3,FNRG_ANTC!$E$4:$E$51,$B35),0)</f>
        <v>0</v>
      </c>
      <c r="G35" s="337">
        <f>IFERROR(SUMIFS(FNRG_ANTC!$I$4:$I$51,FNRG_ANTC!$D$4:$D$51,G$3,FNRG_ANTC!$E$4:$E$51,$B35),0)</f>
        <v>0</v>
      </c>
      <c r="H35" s="337">
        <f>IFERROR(SUMIFS(FNRG_ANTC!$I$4:$I$51,FNRG_ANTC!$D$4:$D$51,H$3,FNRG_ANTC!$E$4:$E$51,$B35),0)</f>
        <v>0</v>
      </c>
      <c r="I35" s="337">
        <f>IFERROR(SUMIFS(FNRG_ANTC!$I$4:$I$51,FNRG_ANTC!$D$4:$D$51,I$3,FNRG_ANTC!$E$4:$E$51,$B35),0)</f>
        <v>2.77</v>
      </c>
      <c r="J35" s="337">
        <f>IFERROR(SUMIFS(FNRG_ANTC!$I$4:$I$51,FNRG_ANTC!$D$4:$D$51,J$3,FNRG_ANTC!$E$4:$E$51,$B35),0)</f>
        <v>0</v>
      </c>
      <c r="K35" s="337">
        <f>IFERROR(SUMIFS(FNRG_ANTC!$I$4:$I$51,FNRG_ANTC!$D$4:$D$51,K$3,FNRG_ANTC!$E$4:$E$51,$B35),0)</f>
        <v>0</v>
      </c>
      <c r="L35" s="337">
        <f>IFERROR(SUMIFS(FNRG_ANTC!$I$4:$I$51,FNRG_ANTC!$D$4:$D$51,L$3,FNRG_ANTC!$E$4:$E$51,$B35),0)</f>
        <v>0</v>
      </c>
      <c r="M35" s="337">
        <f>IFERROR(SUMIFS(FNRG_ANTC!$I$4:$I$51,FNRG_ANTC!$D$4:$D$51,M$3,FNRG_ANTC!$E$4:$E$51,$B35),0)</f>
        <v>0</v>
      </c>
    </row>
    <row r="36" spans="1:13" x14ac:dyDescent="0.25">
      <c r="D36" s="338">
        <f>SUM(D31:D35)</f>
        <v>0.82200000000000006</v>
      </c>
      <c r="E36" s="338">
        <f t="shared" ref="E36:M36" si="2">SUM(E31:E35)</f>
        <v>0</v>
      </c>
      <c r="F36" s="338">
        <f t="shared" si="2"/>
        <v>1.641128256</v>
      </c>
      <c r="G36" s="338">
        <f t="shared" si="2"/>
        <v>0</v>
      </c>
      <c r="H36" s="338">
        <f t="shared" si="2"/>
        <v>0</v>
      </c>
      <c r="I36" s="338">
        <f t="shared" si="2"/>
        <v>2.77</v>
      </c>
      <c r="J36" s="338">
        <f t="shared" si="2"/>
        <v>89.421999999999997</v>
      </c>
      <c r="K36" s="338">
        <f t="shared" si="2"/>
        <v>0</v>
      </c>
      <c r="L36" s="338">
        <f t="shared" si="2"/>
        <v>0</v>
      </c>
      <c r="M36" s="338">
        <f t="shared" si="2"/>
        <v>0</v>
      </c>
    </row>
    <row r="38" spans="1:13" x14ac:dyDescent="0.25">
      <c r="D38" s="338">
        <f>SUM(D14,D29,D36)</f>
        <v>0.82200000000000006</v>
      </c>
      <c r="E38" s="338">
        <f t="shared" ref="E38:M38" si="3">SUM(E14,E29,E36)</f>
        <v>402.49591708176212</v>
      </c>
      <c r="F38" s="338">
        <f t="shared" si="3"/>
        <v>13.201520256</v>
      </c>
      <c r="G38" s="338">
        <f t="shared" si="3"/>
        <v>0</v>
      </c>
      <c r="H38" s="338">
        <f>SUM(H14,H29,H36)</f>
        <v>381.63581682762708</v>
      </c>
      <c r="I38" s="338">
        <f t="shared" si="3"/>
        <v>2.77</v>
      </c>
      <c r="J38" s="338">
        <f t="shared" si="3"/>
        <v>89.421999999999997</v>
      </c>
      <c r="K38" s="338">
        <f t="shared" si="3"/>
        <v>0</v>
      </c>
      <c r="L38" s="338">
        <f t="shared" si="3"/>
        <v>0</v>
      </c>
      <c r="M38" s="338">
        <f t="shared" si="3"/>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6A7BC-BED4-49AD-A536-FC5DC9E7B785}">
  <sheetPr>
    <tabColor theme="5" tint="0.79998168889431442"/>
  </sheetPr>
  <dimension ref="A1:AO172"/>
  <sheetViews>
    <sheetView workbookViewId="0"/>
  </sheetViews>
  <sheetFormatPr defaultColWidth="8.85546875" defaultRowHeight="15" x14ac:dyDescent="0.25"/>
  <cols>
    <col min="1" max="1" width="13.42578125" style="239" customWidth="1"/>
    <col min="2" max="2" width="23" style="239" customWidth="1"/>
    <col min="3" max="5" width="15.140625" style="239" customWidth="1"/>
    <col min="6" max="6" width="25.42578125" style="239" customWidth="1"/>
    <col min="7" max="11" width="17.42578125" style="239" customWidth="1"/>
    <col min="12" max="15" width="18.42578125" style="239" customWidth="1"/>
    <col min="16" max="17" width="11.140625" style="239" customWidth="1"/>
    <col min="18" max="18" width="17.42578125" style="239" bestFit="1" customWidth="1"/>
    <col min="19" max="21" width="16.42578125" style="239" bestFit="1" customWidth="1"/>
    <col min="22" max="22" width="13.42578125" style="239" bestFit="1" customWidth="1"/>
    <col min="23" max="23" width="9" style="239" bestFit="1" customWidth="1"/>
    <col min="24" max="24" width="11.42578125" style="239" customWidth="1"/>
    <col min="25" max="25" width="8.5703125" style="239" customWidth="1"/>
    <col min="26" max="26" width="10.42578125" style="239" customWidth="1"/>
    <col min="27" max="28" width="9" style="239" bestFit="1" customWidth="1"/>
    <col min="29" max="29" width="23.85546875" style="239" bestFit="1" customWidth="1"/>
    <col min="30" max="30" width="10.140625" style="239" bestFit="1" customWidth="1"/>
    <col min="31" max="31" width="19.42578125" style="239" bestFit="1" customWidth="1"/>
    <col min="32" max="32" width="17" style="239" bestFit="1" customWidth="1"/>
    <col min="33" max="33" width="15.85546875" style="239" customWidth="1"/>
    <col min="34" max="34" width="9" style="239" bestFit="1" customWidth="1"/>
    <col min="35" max="35" width="9.42578125" style="239" bestFit="1" customWidth="1"/>
    <col min="36" max="16384" width="8.85546875" style="239"/>
  </cols>
  <sheetData>
    <row r="1" spans="2:39" x14ac:dyDescent="0.25">
      <c r="B1" s="239" t="s">
        <v>573</v>
      </c>
    </row>
    <row r="2" spans="2:39" x14ac:dyDescent="0.25">
      <c r="B2" s="239" t="s">
        <v>329</v>
      </c>
    </row>
    <row r="3" spans="2:39" x14ac:dyDescent="0.25">
      <c r="B3" s="239" t="s">
        <v>574</v>
      </c>
    </row>
    <row r="5" spans="2:39" x14ac:dyDescent="0.25">
      <c r="P5" s="239">
        <f>242/320</f>
        <v>0.75624999999999998</v>
      </c>
    </row>
    <row r="7" spans="2:39" x14ac:dyDescent="0.25">
      <c r="C7" s="239" t="s">
        <v>575</v>
      </c>
      <c r="D7" s="239" t="s">
        <v>576</v>
      </c>
      <c r="E7" s="240">
        <v>34.200000000000003</v>
      </c>
      <c r="F7" s="239" t="s">
        <v>577</v>
      </c>
      <c r="H7" s="241"/>
      <c r="I7" s="242" t="s">
        <v>578</v>
      </c>
    </row>
    <row r="8" spans="2:39" x14ac:dyDescent="0.25">
      <c r="C8" s="239" t="s">
        <v>579</v>
      </c>
      <c r="D8" s="239" t="s">
        <v>576</v>
      </c>
      <c r="E8" s="240">
        <v>38.1</v>
      </c>
      <c r="F8" s="239" t="s">
        <v>580</v>
      </c>
      <c r="H8" s="241"/>
      <c r="I8" s="243">
        <f>(SUMPRODUCT(J18:J20,N18:N20)+SUMPRODUCT(C18:C21,F18:F21))/(SUM(F18:F21)+SUM(N18:N20))</f>
        <v>13715.678991362722</v>
      </c>
    </row>
    <row r="9" spans="2:39" x14ac:dyDescent="0.25">
      <c r="G9" s="239" t="s">
        <v>581</v>
      </c>
      <c r="H9" s="244">
        <v>0.98651860575392236</v>
      </c>
      <c r="I9" s="244"/>
      <c r="J9" s="244"/>
      <c r="K9" s="244"/>
    </row>
    <row r="10" spans="2:39" x14ac:dyDescent="0.25">
      <c r="B10" s="245" t="s">
        <v>582</v>
      </c>
      <c r="G10" s="239" t="s">
        <v>583</v>
      </c>
      <c r="H10" s="244">
        <v>1.0234574055512917</v>
      </c>
      <c r="I10" s="244"/>
      <c r="J10" s="244"/>
      <c r="K10" s="244"/>
    </row>
    <row r="11" spans="2:39" x14ac:dyDescent="0.25">
      <c r="D11" s="245" t="s">
        <v>243</v>
      </c>
      <c r="L11" s="245" t="s">
        <v>237</v>
      </c>
      <c r="R11" s="245" t="s">
        <v>59</v>
      </c>
      <c r="T11" s="245" t="s">
        <v>584</v>
      </c>
      <c r="U11" s="245"/>
      <c r="AF11" s="239" t="s">
        <v>237</v>
      </c>
      <c r="AG11" s="239" t="s">
        <v>59</v>
      </c>
      <c r="AL11" s="239" t="s">
        <v>237</v>
      </c>
      <c r="AM11" s="239" t="s">
        <v>59</v>
      </c>
    </row>
    <row r="12" spans="2:39" x14ac:dyDescent="0.25">
      <c r="C12" s="239" t="s">
        <v>585</v>
      </c>
      <c r="D12" s="239" t="s">
        <v>586</v>
      </c>
      <c r="F12" s="239" t="s">
        <v>587</v>
      </c>
      <c r="G12" s="239" t="s">
        <v>588</v>
      </c>
      <c r="H12" s="239" t="s">
        <v>589</v>
      </c>
      <c r="J12" s="239" t="s">
        <v>585</v>
      </c>
      <c r="L12" s="239" t="s">
        <v>586</v>
      </c>
      <c r="N12" s="239" t="s">
        <v>587</v>
      </c>
      <c r="O12" s="239" t="s">
        <v>588</v>
      </c>
      <c r="P12" s="245" t="s">
        <v>237</v>
      </c>
      <c r="R12" s="245" t="s">
        <v>87</v>
      </c>
      <c r="S12" s="245" t="s">
        <v>87</v>
      </c>
      <c r="V12" s="246"/>
      <c r="W12" s="246" t="s">
        <v>590</v>
      </c>
      <c r="X12" s="246" t="s">
        <v>591</v>
      </c>
      <c r="Y12" s="246" t="s">
        <v>592</v>
      </c>
      <c r="Z12" s="246" t="s">
        <v>593</v>
      </c>
      <c r="AA12" s="239" t="s">
        <v>594</v>
      </c>
      <c r="AB12" s="239" t="s">
        <v>595</v>
      </c>
      <c r="AC12" s="239" t="s">
        <v>595</v>
      </c>
      <c r="AD12" s="239" t="s">
        <v>596</v>
      </c>
      <c r="AE12" s="239" t="s">
        <v>87</v>
      </c>
      <c r="AF12" s="239" t="s">
        <v>597</v>
      </c>
      <c r="AG12" s="239" t="s">
        <v>597</v>
      </c>
      <c r="AL12" s="239" t="s">
        <v>598</v>
      </c>
      <c r="AM12" s="239" t="s">
        <v>598</v>
      </c>
    </row>
    <row r="13" spans="2:39" ht="15.75" thickBot="1" x14ac:dyDescent="0.3">
      <c r="C13" s="239" t="s">
        <v>224</v>
      </c>
      <c r="D13" s="239" t="s">
        <v>226</v>
      </c>
      <c r="E13" s="239" t="s">
        <v>599</v>
      </c>
      <c r="G13" s="239" t="s">
        <v>600</v>
      </c>
      <c r="H13" s="239" t="s">
        <v>177</v>
      </c>
      <c r="J13" s="239" t="s">
        <v>224</v>
      </c>
      <c r="L13" s="239" t="s">
        <v>226</v>
      </c>
      <c r="M13" s="239" t="s">
        <v>599</v>
      </c>
      <c r="O13" s="239" t="s">
        <v>600</v>
      </c>
      <c r="P13" s="239" t="s">
        <v>177</v>
      </c>
      <c r="R13" s="239" t="s">
        <v>601</v>
      </c>
      <c r="S13" s="239" t="s">
        <v>177</v>
      </c>
      <c r="AD13" s="239" t="s">
        <v>602</v>
      </c>
      <c r="AF13" s="239" t="s">
        <v>603</v>
      </c>
      <c r="AG13" s="239" t="s">
        <v>603</v>
      </c>
    </row>
    <row r="14" spans="2:39" ht="15.75" thickTop="1" x14ac:dyDescent="0.25">
      <c r="B14" s="34" t="s">
        <v>604</v>
      </c>
      <c r="H14" s="247">
        <f>EB_2017!AF71</f>
        <v>381580</v>
      </c>
      <c r="L14" s="248"/>
      <c r="M14" s="248"/>
      <c r="N14" s="248"/>
      <c r="O14" s="248"/>
      <c r="P14" s="249">
        <v>333000</v>
      </c>
      <c r="Q14" s="249"/>
      <c r="S14" s="247">
        <v>71.063999999999993</v>
      </c>
      <c r="AD14" s="244"/>
      <c r="AF14" s="250"/>
      <c r="AG14" s="251"/>
      <c r="AL14" s="252"/>
      <c r="AM14" s="253"/>
    </row>
    <row r="15" spans="2:39" x14ac:dyDescent="0.25">
      <c r="B15" s="254" t="s">
        <v>605</v>
      </c>
      <c r="H15" s="255">
        <f>SUM(H17:H36)</f>
        <v>381637.9829411988</v>
      </c>
      <c r="L15" s="248"/>
      <c r="M15" s="248"/>
      <c r="N15" s="248"/>
      <c r="O15" s="248"/>
      <c r="P15" s="255">
        <f>SUM(P17:P41)-P37</f>
        <v>402494.4371791642</v>
      </c>
      <c r="Q15" s="249"/>
      <c r="S15" s="256">
        <f>SUM(S17:S41)-S37</f>
        <v>11809.512000000001</v>
      </c>
      <c r="AD15" s="244"/>
      <c r="AF15" s="257"/>
      <c r="AG15" s="258"/>
      <c r="AL15" s="259"/>
      <c r="AM15" s="260"/>
    </row>
    <row r="16" spans="2:39" x14ac:dyDescent="0.25">
      <c r="B16" s="34" t="s">
        <v>606</v>
      </c>
      <c r="H16" s="261">
        <f>H15/H14-1</f>
        <v>1.5195487499020111E-4</v>
      </c>
      <c r="L16" s="262">
        <f>H16/H14</f>
        <v>3.9822547038681562E-10</v>
      </c>
      <c r="M16" s="248"/>
      <c r="N16" s="248"/>
      <c r="O16" s="248"/>
      <c r="P16" s="261">
        <f>P15/P14-1</f>
        <v>0.20869200354103357</v>
      </c>
      <c r="Q16" s="249"/>
      <c r="S16" s="263">
        <f>P16/P14</f>
        <v>6.2670271333643711E-7</v>
      </c>
      <c r="AD16" s="244"/>
      <c r="AF16" s="257"/>
      <c r="AG16" s="258"/>
      <c r="AL16" s="259"/>
      <c r="AM16" s="260"/>
    </row>
    <row r="17" spans="1:41" x14ac:dyDescent="0.25">
      <c r="B17" s="47" t="s">
        <v>135</v>
      </c>
      <c r="H17" s="264"/>
      <c r="L17" s="248"/>
      <c r="M17" s="265">
        <f>1/M18</f>
        <v>0.23305744392160094</v>
      </c>
      <c r="N17" s="266"/>
      <c r="O17" s="248"/>
      <c r="P17" s="264"/>
      <c r="Q17" s="267"/>
      <c r="S17" s="268"/>
      <c r="AD17" s="244"/>
      <c r="AF17" s="257"/>
      <c r="AG17" s="258"/>
      <c r="AL17" s="259"/>
      <c r="AM17" s="260"/>
    </row>
    <row r="18" spans="1:41" x14ac:dyDescent="0.25">
      <c r="A18" s="239" t="s">
        <v>490</v>
      </c>
      <c r="B18" s="50" t="s">
        <v>282</v>
      </c>
      <c r="C18" s="243">
        <f>SUMIF(Analytica!$B$17:$B$41,$A18,Analytica!$J$17:$J$41)</f>
        <v>19247.904422146901</v>
      </c>
      <c r="D18" s="269">
        <f>SUMIF(Analytica!$B$17:$B$41,$A18,Analytica!$V$17:$V$41)</f>
        <v>13.551554667779801</v>
      </c>
      <c r="E18" s="270">
        <f t="shared" ref="E18:E23" si="0">D18*E$7/100</f>
        <v>4.6346316963806924</v>
      </c>
      <c r="F18" s="243">
        <f>SUMIF(Analytica!$B$17:$B$41,$A18,Analytica!$AI$17:$AI$41)*1000</f>
        <v>476243.90014438698</v>
      </c>
      <c r="G18" s="271">
        <f t="shared" ref="G18:G23" si="1">F18*C18/1000000000</f>
        <v>9.166697071609633</v>
      </c>
      <c r="H18" s="264">
        <f t="shared" ref="H18:H23" si="2">G18*E18*1000</f>
        <v>42484.264799202079</v>
      </c>
      <c r="I18" s="239" t="s">
        <v>488</v>
      </c>
      <c r="J18" s="243">
        <f>SUMIF(Analytica!$B$17:$B$41,$I18,Analytica!$J$17:$J$41)</f>
        <v>19511.180861952002</v>
      </c>
      <c r="L18" s="269">
        <f>SUMIF(Analytica!$B$17:$B$41,$I18,Analytica!$V$17:$V$41)</f>
        <v>11.2619098186515</v>
      </c>
      <c r="M18" s="270">
        <f>L18*E$8/100</f>
        <v>4.2907876409062213</v>
      </c>
      <c r="N18" s="243">
        <f>SUMIF(Analytica!$B$17:$B$41,$I18,Analytica!$AI$17:$AI$41)*1000</f>
        <v>439316.08188194199</v>
      </c>
      <c r="O18" s="271">
        <f>N18*J18/1000000000</f>
        <v>8.5715755291626863</v>
      </c>
      <c r="P18" s="264">
        <f>O18*M18*1000</f>
        <v>36778.810343625461</v>
      </c>
      <c r="Q18" s="272">
        <f>P18/$P$15</f>
        <v>9.1377189213807539E-2</v>
      </c>
      <c r="S18" s="273"/>
      <c r="AD18" s="244"/>
      <c r="AF18" s="257"/>
      <c r="AG18" s="258"/>
      <c r="AL18" s="259"/>
      <c r="AM18" s="260"/>
      <c r="AO18" s="239" t="s">
        <v>87</v>
      </c>
    </row>
    <row r="19" spans="1:41" x14ac:dyDescent="0.25">
      <c r="A19" s="239" t="s">
        <v>489</v>
      </c>
      <c r="B19" s="50" t="s">
        <v>607</v>
      </c>
      <c r="C19" s="243">
        <f>SUMIF(Analytica!$B$17:$B$41,$A19,Analytica!$J$17:$J$41)</f>
        <v>19821.569272195698</v>
      </c>
      <c r="D19" s="269">
        <f>SUMIF(Analytica!$B$17:$B$41,$A19,Analytica!$V$17:$V$41)</f>
        <v>6.8382247609900997</v>
      </c>
      <c r="E19" s="270">
        <f t="shared" si="0"/>
        <v>2.3386728682586142</v>
      </c>
      <c r="F19" s="243">
        <f>SUMIF(Analytica!$B$17:$B$41,$A19,Analytica!$AI$17:$AI$41)*1000</f>
        <v>803.12517525851206</v>
      </c>
      <c r="G19" s="271">
        <f t="shared" si="1"/>
        <v>1.5919201295630906E-2</v>
      </c>
      <c r="H19" s="264">
        <f t="shared" si="2"/>
        <v>37.229804154439378</v>
      </c>
      <c r="J19" s="243"/>
      <c r="L19" s="269"/>
      <c r="M19" s="270"/>
      <c r="N19" s="243">
        <f>SUMIF(Analytica!$B$17:$B$41,$I19,Analytica!$AI$17:$AI$41)*1000</f>
        <v>0</v>
      </c>
      <c r="O19" s="271"/>
      <c r="P19" s="264"/>
      <c r="Q19" s="272"/>
      <c r="S19" s="273"/>
      <c r="AD19" s="244"/>
      <c r="AF19" s="257"/>
      <c r="AG19" s="258"/>
      <c r="AL19" s="259"/>
      <c r="AM19" s="260"/>
    </row>
    <row r="20" spans="1:41" x14ac:dyDescent="0.25">
      <c r="A20" s="239" t="s">
        <v>470</v>
      </c>
      <c r="B20" s="50" t="s">
        <v>137</v>
      </c>
      <c r="C20" s="243">
        <f>SUMIF(Analytica!$B$17:$B$41,$A20,Analytica!$J$17:$J$41)</f>
        <v>12637.1850755821</v>
      </c>
      <c r="D20" s="269">
        <f>SUMIF(Analytica!$B$17:$B$41,$A20,Analytica!$V$17:$V$41)</f>
        <v>8.1935839212683703</v>
      </c>
      <c r="E20" s="270">
        <f t="shared" si="0"/>
        <v>2.8022057010737829</v>
      </c>
      <c r="F20" s="243">
        <f>SUMIF(Analytica!$B$17:$B$41,$A20,Analytica!$AI$17:$AI$41)*1000</f>
        <v>5902057.2972451197</v>
      </c>
      <c r="G20" s="271">
        <f t="shared" si="1"/>
        <v>74.58539039197646</v>
      </c>
      <c r="H20" s="264">
        <f t="shared" si="2"/>
        <v>209003.6061732102</v>
      </c>
      <c r="I20" s="239" t="s">
        <v>469</v>
      </c>
      <c r="J20" s="243">
        <f>SUMIF(Analytica!$B$17:$B$41,$I20,Analytica!$J$17:$J$41)</f>
        <v>16729.5435106636</v>
      </c>
      <c r="L20" s="269">
        <f>SUMIF(Analytica!$B$17:$B$41,$I20,Analytica!$V$17:$V$41)</f>
        <v>7.9055959462827703</v>
      </c>
      <c r="M20" s="270">
        <f>L20*E$8/100</f>
        <v>3.0120320555337354</v>
      </c>
      <c r="N20" s="243">
        <f>SUMIF(Analytica!$B$17:$B$41,$I20,Analytica!$AI$17:$AI$41)*1000</f>
        <v>387586.46835565299</v>
      </c>
      <c r="O20" s="271">
        <f>N20*J20/1000000000</f>
        <v>6.4841446865003363</v>
      </c>
      <c r="P20" s="264">
        <f>O20*M20*1000</f>
        <v>19530.451648457754</v>
      </c>
      <c r="Q20" s="274">
        <f>P20/$P$15</f>
        <v>4.8523531866265457E-2</v>
      </c>
      <c r="S20" s="273"/>
      <c r="AD20" s="244"/>
      <c r="AF20" s="257"/>
      <c r="AG20" s="258"/>
      <c r="AL20" s="259"/>
      <c r="AM20" s="260"/>
    </row>
    <row r="21" spans="1:41" x14ac:dyDescent="0.25">
      <c r="A21" s="239" t="s">
        <v>472</v>
      </c>
      <c r="B21" s="50" t="s">
        <v>608</v>
      </c>
      <c r="C21" s="243">
        <f>SUMIF(Analytica!$B$17:$B$41,$A21,Analytica!$J$17:$J$41)</f>
        <v>16469.932811344399</v>
      </c>
      <c r="D21" s="269">
        <f>SUMIF(Analytica!$B$17:$B$41,$A21,Analytica!$V$17:$V$41)</f>
        <v>6.0121796481091199</v>
      </c>
      <c r="E21" s="270">
        <f t="shared" si="0"/>
        <v>2.0561654396533191</v>
      </c>
      <c r="F21" s="243">
        <f>SUMIF(Analytica!$B$17:$B$41,$A21,Analytica!$AI$17:$AI$41)*1000</f>
        <v>4193.5845862024998</v>
      </c>
      <c r="G21" s="271">
        <f t="shared" si="1"/>
        <v>6.9068056373444681E-2</v>
      </c>
      <c r="H21" s="264">
        <f t="shared" si="2"/>
        <v>142.0153504991041</v>
      </c>
      <c r="J21" s="243"/>
      <c r="L21" s="269"/>
      <c r="M21" s="270"/>
      <c r="N21" s="243">
        <f>SUMIF(Analytica!$B$17:$B$41,$I21,Analytica!$AI$17:$AI$41)*1000</f>
        <v>0</v>
      </c>
      <c r="O21" s="271"/>
      <c r="P21" s="264"/>
      <c r="Q21" s="274"/>
      <c r="S21" s="273"/>
      <c r="AD21" s="244"/>
      <c r="AF21" s="257"/>
      <c r="AG21" s="258"/>
      <c r="AL21" s="259"/>
      <c r="AM21" s="260"/>
    </row>
    <row r="22" spans="1:41" x14ac:dyDescent="0.25">
      <c r="A22" s="239" t="s">
        <v>288</v>
      </c>
      <c r="B22" s="50" t="s">
        <v>609</v>
      </c>
      <c r="C22" s="243">
        <f>SUMIF(Analytica!$B$17:$B$41,$A22,Analytica!$J$17:$J$41)</f>
        <v>11116.953059764701</v>
      </c>
      <c r="D22" s="269">
        <f>SUMIF(Analytica!$B$17:$B$41,$A22,Analytica!$V$17:$V$41)</f>
        <v>4.9995594866529798</v>
      </c>
      <c r="E22" s="270">
        <f t="shared" si="0"/>
        <v>1.7098493444353193</v>
      </c>
      <c r="F22" s="243">
        <f>SUMIF(Analytica!$B$17:$B$41,$A22,Analytica!$AI$17:$AI$41)*1000</f>
        <v>532771.09028187394</v>
      </c>
      <c r="G22" s="271">
        <f t="shared" si="1"/>
        <v>5.9227912022632543</v>
      </c>
      <c r="H22" s="264">
        <f t="shared" si="2"/>
        <v>10127.080654417103</v>
      </c>
      <c r="J22" s="243"/>
      <c r="L22" s="269"/>
      <c r="M22" s="270"/>
      <c r="N22" s="243">
        <f>SUMIF(Analytica!$B$17:$B$41,$I22,Analytica!$AI$17:$AI$41)*1000</f>
        <v>0</v>
      </c>
      <c r="O22" s="271"/>
      <c r="P22" s="264"/>
      <c r="Q22" s="274">
        <f>P22/$P$15</f>
        <v>0</v>
      </c>
      <c r="S22" s="273"/>
      <c r="AD22" s="244"/>
      <c r="AF22" s="257"/>
      <c r="AG22" s="258"/>
      <c r="AL22" s="259"/>
      <c r="AM22" s="260"/>
    </row>
    <row r="23" spans="1:41" x14ac:dyDescent="0.25">
      <c r="A23" s="239" t="s">
        <v>487</v>
      </c>
      <c r="B23" s="50" t="s">
        <v>138</v>
      </c>
      <c r="C23" s="243">
        <f>SUMIF(Analytica!$B$17:$B$41,$A23,Analytica!$J$17:$J$41)</f>
        <v>20011.348468624099</v>
      </c>
      <c r="D23" s="269">
        <f>SUMIF(Analytica!$B$17:$B$41,$A23,Analytica!$V$17:$V$41)</f>
        <v>14.5644836562465</v>
      </c>
      <c r="E23" s="270">
        <f t="shared" si="0"/>
        <v>4.9810534104363038</v>
      </c>
      <c r="F23" s="243">
        <f>SUMIF(Analytica!$B$17:$B$41,$A23,Analytica!$AI$17:$AI$41)*1000</f>
        <v>253885.003628612</v>
      </c>
      <c r="G23" s="271">
        <f t="shared" si="1"/>
        <v>5.0805812785700484</v>
      </c>
      <c r="H23" s="264">
        <f t="shared" si="2"/>
        <v>25306.64670462018</v>
      </c>
      <c r="I23" s="239" t="s">
        <v>486</v>
      </c>
      <c r="J23" s="243">
        <f>SUMIF(Analytica!$B$17:$B$41,$I23,Analytica!$J$17:$J$41)</f>
        <v>30532.953139957201</v>
      </c>
      <c r="L23" s="269">
        <f>SUMIF(Analytica!$B$17:$B$41,$I23,Analytica!$V$17:$V$41)</f>
        <v>11.0775109229247</v>
      </c>
      <c r="M23" s="270">
        <f>L23*E$8/100</f>
        <v>4.2205316616343111</v>
      </c>
      <c r="N23" s="243">
        <f>SUMIF(Analytica!$B$17:$B$41,$I23,Analytica!$AI$17:$AI$41)*1000</f>
        <v>69841.5661662536</v>
      </c>
      <c r="O23" s="271">
        <f>N23*J23/1000000000</f>
        <v>2.1324692669754413</v>
      </c>
      <c r="P23" s="264">
        <f>O23*M23*1000</f>
        <v>9000.1540587319596</v>
      </c>
      <c r="Q23" s="274">
        <f>P23/$P$15</f>
        <v>2.2360940245059038E-2</v>
      </c>
      <c r="S23" s="273"/>
      <c r="AD23" s="244"/>
      <c r="AF23" s="257"/>
      <c r="AG23" s="258"/>
      <c r="AL23" s="259"/>
      <c r="AM23" s="260"/>
    </row>
    <row r="24" spans="1:41" x14ac:dyDescent="0.25">
      <c r="B24" s="50" t="s">
        <v>139</v>
      </c>
      <c r="D24" s="275"/>
      <c r="F24" s="276"/>
      <c r="H24" s="264"/>
      <c r="I24" s="239" t="s">
        <v>468</v>
      </c>
      <c r="J24" s="243">
        <f>SUMIF(Analytica!$B$17:$B$41,$I24,Analytica!$J$17:$J$41)</f>
        <v>25519.3702773902</v>
      </c>
      <c r="L24" s="269">
        <f>SUMIF(Analytica!$B$17:$B$41,$I24,Analytica!$V$17:$V$41)</f>
        <v>40.788494972334703</v>
      </c>
      <c r="M24" s="270">
        <f>L24*E$8/100</f>
        <v>15.540416584459521</v>
      </c>
      <c r="N24" s="243">
        <f>SUMIF(Analytica!$B$17:$B$41,$I24,Analytica!$AI$17:$AI$41)*1000</f>
        <v>25195.2522652347</v>
      </c>
      <c r="O24" s="271">
        <f>N24*J24/1000000000</f>
        <v>0.6429669717887786</v>
      </c>
      <c r="P24" s="264">
        <f>O24*M24*1000</f>
        <v>9991.9745916460524</v>
      </c>
      <c r="Q24" s="274">
        <f>P24/$P$15</f>
        <v>2.4825124694079385E-2</v>
      </c>
      <c r="S24" s="273"/>
      <c r="AC24" s="277" t="s">
        <v>610</v>
      </c>
      <c r="AD24" s="244">
        <v>1</v>
      </c>
      <c r="AF24" s="257"/>
      <c r="AG24" s="258"/>
      <c r="AL24" s="259"/>
      <c r="AM24" s="260"/>
    </row>
    <row r="25" spans="1:41" x14ac:dyDescent="0.25">
      <c r="B25" s="50" t="s">
        <v>140</v>
      </c>
      <c r="H25" s="268"/>
      <c r="L25" s="248"/>
      <c r="M25" s="278">
        <f>+M24</f>
        <v>15.540416584459521</v>
      </c>
      <c r="N25" s="243">
        <f>SUMIF(Analytica!$B$17:$B$41,$I25,Analytica!$AI$17:$AI$41)*1000</f>
        <v>0</v>
      </c>
      <c r="O25" s="248"/>
      <c r="P25" s="264"/>
      <c r="Q25" s="267"/>
      <c r="S25" s="273"/>
      <c r="AC25" s="277" t="s">
        <v>611</v>
      </c>
      <c r="AD25" s="244">
        <v>257.91853130928132</v>
      </c>
      <c r="AF25" s="257"/>
      <c r="AG25" s="258"/>
      <c r="AL25" s="259"/>
      <c r="AM25" s="260"/>
    </row>
    <row r="26" spans="1:41" x14ac:dyDescent="0.25">
      <c r="B26" s="47" t="s">
        <v>141</v>
      </c>
      <c r="H26" s="268"/>
      <c r="K26" s="248"/>
      <c r="L26" s="248"/>
      <c r="M26" s="248"/>
      <c r="N26" s="243">
        <f>SUMIF(Analytica!$B$17:$B$41,$I26,Analytica!$AI$17:$AI$41)*1000</f>
        <v>0</v>
      </c>
      <c r="O26" s="248"/>
      <c r="P26" s="264"/>
      <c r="Q26" s="267"/>
      <c r="S26" s="273"/>
      <c r="AC26" s="277" t="s">
        <v>612</v>
      </c>
      <c r="AD26" s="279">
        <f>SUM(SOL!L16:L18)</f>
        <v>301</v>
      </c>
      <c r="AF26" s="257"/>
      <c r="AG26" s="258"/>
      <c r="AL26" s="259"/>
      <c r="AM26" s="260"/>
    </row>
    <row r="27" spans="1:41" x14ac:dyDescent="0.25">
      <c r="B27" s="50" t="s">
        <v>613</v>
      </c>
      <c r="H27" s="268"/>
      <c r="I27" s="239" t="s">
        <v>476</v>
      </c>
      <c r="J27" s="243">
        <f>SUMIF(Analytica!$B$17:$B$41,$I27,Analytica!$J$17:$J$41)</f>
        <v>29561.999562574299</v>
      </c>
      <c r="K27" s="248"/>
      <c r="L27" s="269">
        <f>SUMIF(Analytica!$B$17:$B$41,$I27,Analytica!$V$17:$V$41)</f>
        <v>19.237973630069799</v>
      </c>
      <c r="M27" s="280">
        <f t="shared" ref="M27:M36" si="3">L27*E$8/100</f>
        <v>7.3296679530565942</v>
      </c>
      <c r="N27" s="243">
        <f>SUMIF(Analytica!$B$17:$B$41,$I27,Analytica!$AI$17:$AI$41)*1000</f>
        <v>33929.342714939405</v>
      </c>
      <c r="O27" s="271">
        <f t="shared" ref="O27:O36" si="4">N27*J27/1000000000</f>
        <v>1.0030192144974721</v>
      </c>
      <c r="P27" s="264">
        <f t="shared" ref="P27:P36" si="5">O27*M27*1000</f>
        <v>7351.7977928021191</v>
      </c>
      <c r="Q27" s="281">
        <v>7.6337179881330094E-3</v>
      </c>
      <c r="S27" s="273"/>
      <c r="U27" s="244"/>
      <c r="V27" s="239" t="s">
        <v>260</v>
      </c>
      <c r="W27" s="246">
        <f t="shared" ref="W27:W38" si="6">INDEX($AE$128:$AE$144,MATCH($V27,$A$128:$A$144,0))</f>
        <v>93.066081031435942</v>
      </c>
      <c r="X27" s="246">
        <f t="shared" ref="X27:X38" si="7">INDEX($AF$128:$AF$144,MATCH($V27,$A$128:$A$144,0))</f>
        <v>3.4069253967457311</v>
      </c>
      <c r="Y27" s="282">
        <v>0.5</v>
      </c>
      <c r="Z27" s="283">
        <v>5.0019999999999998</v>
      </c>
      <c r="AA27" s="244">
        <v>5.0037545528751481</v>
      </c>
      <c r="AB27" s="244">
        <v>5.8</v>
      </c>
      <c r="AC27" s="244">
        <f t="shared" ref="AC27:AC36" si="8">Z27*Y27</f>
        <v>2.5009999999999999</v>
      </c>
      <c r="AD27" s="244">
        <f t="shared" ref="AD27:AD36" si="9">Y27*Z27*O27*$AD$24</f>
        <v>2.5085510554581778</v>
      </c>
      <c r="AF27" s="257"/>
      <c r="AG27" s="258"/>
      <c r="AL27" s="259"/>
      <c r="AM27" s="260"/>
    </row>
    <row r="28" spans="1:41" x14ac:dyDescent="0.25">
      <c r="B28" s="50" t="s">
        <v>614</v>
      </c>
      <c r="H28" s="268"/>
      <c r="I28" s="239" t="s">
        <v>477</v>
      </c>
      <c r="J28" s="243">
        <f>SUMIF(Analytica!$B$17:$B$41,$I28,Analytica!$J$17:$J$41)</f>
        <v>52619.682956395503</v>
      </c>
      <c r="K28" s="248"/>
      <c r="L28" s="269">
        <f>SUMIF(Analytica!$B$17:$B$41,$I28,Analytica!$V$17:$V$41)</f>
        <v>22.0039654914689</v>
      </c>
      <c r="M28" s="280">
        <f t="shared" si="3"/>
        <v>8.3835108522496515</v>
      </c>
      <c r="N28" s="243">
        <f>SUMIF(Analytica!$B$17:$B$41,$I28,Analytica!$AI$17:$AI$41)*1000</f>
        <v>62701.905314712101</v>
      </c>
      <c r="O28" s="271">
        <f t="shared" si="4"/>
        <v>3.2993543784220809</v>
      </c>
      <c r="P28" s="264">
        <f t="shared" si="5"/>
        <v>27660.173236918919</v>
      </c>
      <c r="Q28" s="281">
        <v>5.526386346469829E-2</v>
      </c>
      <c r="S28" s="273"/>
      <c r="V28" s="239" t="s">
        <v>262</v>
      </c>
      <c r="W28" s="246">
        <f t="shared" si="6"/>
        <v>40.735527501009706</v>
      </c>
      <c r="X28" s="246">
        <f t="shared" si="7"/>
        <v>1.4912296902901276</v>
      </c>
      <c r="Y28" s="282">
        <v>0.54986773263798583</v>
      </c>
      <c r="Z28" s="283">
        <v>9.1059999999999999</v>
      </c>
      <c r="AA28" s="244">
        <v>9.6839451103036485</v>
      </c>
      <c r="AB28" s="244">
        <v>8</v>
      </c>
      <c r="AC28" s="244">
        <f t="shared" si="8"/>
        <v>5.0070955734014992</v>
      </c>
      <c r="AD28" s="244">
        <f t="shared" si="9"/>
        <v>16.520182703280057</v>
      </c>
      <c r="AF28" s="257"/>
      <c r="AG28" s="258"/>
      <c r="AL28" s="259"/>
      <c r="AM28" s="260"/>
    </row>
    <row r="29" spans="1:41" x14ac:dyDescent="0.25">
      <c r="B29" s="50" t="s">
        <v>615</v>
      </c>
      <c r="H29" s="268"/>
      <c r="I29" s="239" t="s">
        <v>478</v>
      </c>
      <c r="J29" s="243">
        <f>SUMIF(Analytica!$B$17:$B$41,$I29,Analytica!$J$17:$J$41)</f>
        <v>49633.5682573101</v>
      </c>
      <c r="K29" s="248"/>
      <c r="L29" s="269">
        <f>SUMIF(Analytica!$B$17:$B$41,$I29,Analytica!$V$17:$V$41)</f>
        <v>25.603686211102399</v>
      </c>
      <c r="M29" s="280">
        <f t="shared" si="3"/>
        <v>9.7550044464300143</v>
      </c>
      <c r="N29" s="243">
        <f>SUMIF(Analytica!$B$17:$B$41,$I29,Analytica!$AI$17:$AI$41)*1000</f>
        <v>12056.497449546701</v>
      </c>
      <c r="O29" s="271">
        <f t="shared" si="4"/>
        <v>0.5984069891061613</v>
      </c>
      <c r="P29" s="264">
        <f t="shared" si="5"/>
        <v>5837.4628395054006</v>
      </c>
      <c r="Q29" s="281">
        <v>2.1046341682691844E-2</v>
      </c>
      <c r="S29" s="273"/>
      <c r="V29" s="239" t="s">
        <v>264</v>
      </c>
      <c r="W29" s="246">
        <f t="shared" si="6"/>
        <v>28.173361998700738</v>
      </c>
      <c r="X29" s="246">
        <f t="shared" si="7"/>
        <v>1.0313590240537032</v>
      </c>
      <c r="Y29" s="282">
        <v>0.59995140001488945</v>
      </c>
      <c r="Z29" s="283">
        <v>13.2</v>
      </c>
      <c r="AA29" s="244">
        <v>14.221833213885624</v>
      </c>
      <c r="AB29" s="244">
        <v>14</v>
      </c>
      <c r="AC29" s="244">
        <f t="shared" si="8"/>
        <v>7.9193584801965402</v>
      </c>
      <c r="AD29" s="244">
        <f t="shared" si="9"/>
        <v>4.7389994637867572</v>
      </c>
      <c r="AF29" s="257"/>
      <c r="AG29" s="258"/>
      <c r="AL29" s="259"/>
      <c r="AM29" s="260"/>
    </row>
    <row r="30" spans="1:41" x14ac:dyDescent="0.25">
      <c r="B30" s="50" t="s">
        <v>616</v>
      </c>
      <c r="H30" s="268"/>
      <c r="I30" s="239" t="s">
        <v>479</v>
      </c>
      <c r="J30" s="243">
        <f>SUMIF(Analytica!$B$17:$B$41,$I30,Analytica!$J$17:$J$41)</f>
        <v>54633.576505741999</v>
      </c>
      <c r="K30" s="248"/>
      <c r="L30" s="269">
        <f>SUMIF(Analytica!$B$17:$B$41,$I30,Analytica!$V$17:$V$41)</f>
        <v>27.792076201905399</v>
      </c>
      <c r="M30" s="280">
        <f t="shared" si="3"/>
        <v>10.588781032925958</v>
      </c>
      <c r="N30" s="243">
        <f>SUMIF(Analytica!$B$17:$B$41,$I30,Analytica!$AI$17:$AI$41)*1000</f>
        <v>5454.3032895166198</v>
      </c>
      <c r="O30" s="271">
        <f t="shared" si="4"/>
        <v>0.29798809605332649</v>
      </c>
      <c r="P30" s="264">
        <f t="shared" si="5"/>
        <v>3155.3306995271823</v>
      </c>
      <c r="Q30" s="281">
        <v>1.6660499719710051E-2</v>
      </c>
      <c r="S30" s="273"/>
      <c r="V30" s="239" t="s">
        <v>266</v>
      </c>
      <c r="W30" s="246">
        <f t="shared" si="6"/>
        <v>23.920655666963356</v>
      </c>
      <c r="X30" s="246">
        <f t="shared" si="7"/>
        <v>0.875677673276684</v>
      </c>
      <c r="Y30" s="282">
        <v>0.64996627739340673</v>
      </c>
      <c r="Z30" s="283">
        <v>16.75</v>
      </c>
      <c r="AA30" s="244">
        <v>18.314778548002092</v>
      </c>
      <c r="AB30" s="244">
        <v>16.600000000000001</v>
      </c>
      <c r="AC30" s="244">
        <f t="shared" si="8"/>
        <v>10.886935146339562</v>
      </c>
      <c r="AD30" s="244">
        <f t="shared" si="9"/>
        <v>3.2441770761137696</v>
      </c>
      <c r="AF30" s="257"/>
      <c r="AG30" s="258"/>
      <c r="AL30" s="259"/>
      <c r="AM30" s="260"/>
    </row>
    <row r="31" spans="1:41" x14ac:dyDescent="0.25">
      <c r="B31" s="50" t="s">
        <v>617</v>
      </c>
      <c r="H31" s="268"/>
      <c r="I31" s="239" t="s">
        <v>480</v>
      </c>
      <c r="J31" s="243">
        <f>SUMIF(Analytica!$B$17:$B$41,$I31,Analytica!$J$17:$J$41)</f>
        <v>62778.924850520401</v>
      </c>
      <c r="K31" s="248"/>
      <c r="L31" s="269">
        <f>SUMIF(Analytica!$B$17:$B$41,$I31,Analytica!$V$17:$V$41)</f>
        <v>40.292737614575302</v>
      </c>
      <c r="M31" s="280">
        <f t="shared" si="3"/>
        <v>15.35153303115319</v>
      </c>
      <c r="N31" s="243">
        <f>SUMIF(Analytica!$B$17:$B$41,$I31,Analytica!$AI$17:$AI$41)*1000</f>
        <v>106121.40587784999</v>
      </c>
      <c r="O31" s="271">
        <f t="shared" si="4"/>
        <v>6.6621877646371184</v>
      </c>
      <c r="P31" s="264">
        <f t="shared" si="5"/>
        <v>102274.79552857135</v>
      </c>
      <c r="Q31" s="284">
        <v>0.53822909403188191</v>
      </c>
      <c r="S31" s="273"/>
      <c r="V31" s="239" t="s">
        <v>268</v>
      </c>
      <c r="W31" s="246">
        <f t="shared" si="6"/>
        <v>18.154750802717288</v>
      </c>
      <c r="X31" s="246">
        <f t="shared" si="7"/>
        <v>0.66460176356276468</v>
      </c>
      <c r="Y31" s="282">
        <v>0.7341397689947935</v>
      </c>
      <c r="Z31" s="283">
        <v>26.59</v>
      </c>
      <c r="AA31" s="244">
        <v>28.941919659289987</v>
      </c>
      <c r="AB31" s="244">
        <v>24.6</v>
      </c>
      <c r="AC31" s="244">
        <f t="shared" si="8"/>
        <v>19.520776457571557</v>
      </c>
      <c r="AD31" s="244">
        <f t="shared" si="9"/>
        <v>130.05107807184953</v>
      </c>
      <c r="AF31" s="257"/>
      <c r="AG31" s="258"/>
      <c r="AL31" s="259"/>
      <c r="AM31" s="260"/>
    </row>
    <row r="32" spans="1:41" x14ac:dyDescent="0.25">
      <c r="B32" s="50" t="s">
        <v>618</v>
      </c>
      <c r="H32" s="268"/>
      <c r="I32" s="239" t="s">
        <v>481</v>
      </c>
      <c r="J32" s="243">
        <f>SUMIF(Analytica!$B$17:$B$41,$I32,Analytica!$J$17:$J$41)</f>
        <v>86037.431296970695</v>
      </c>
      <c r="K32" s="248"/>
      <c r="L32" s="269">
        <f>SUMIF(Analytica!$B$17:$B$41,$I32,Analytica!$V$17:$V$41)</f>
        <v>37.3258316657572</v>
      </c>
      <c r="M32" s="280">
        <f t="shared" si="3"/>
        <v>14.221141864653493</v>
      </c>
      <c r="N32" s="243">
        <f>SUMIF(Analytica!$B$17:$B$41,$I32,Analytica!$AI$17:$AI$41)*1000</f>
        <v>25874.2804975207</v>
      </c>
      <c r="O32" s="271">
        <f t="shared" si="4"/>
        <v>2.2261566306639859</v>
      </c>
      <c r="P32" s="264">
        <f t="shared" si="5"/>
        <v>31658.489257611574</v>
      </c>
      <c r="Q32" s="281">
        <v>0.23444852820716061</v>
      </c>
      <c r="S32" s="273"/>
      <c r="V32" s="239" t="s">
        <v>271</v>
      </c>
      <c r="W32" s="246">
        <f t="shared" si="6"/>
        <v>20.546557556637548</v>
      </c>
      <c r="X32" s="246">
        <f t="shared" si="7"/>
        <v>0.75216005637716199</v>
      </c>
      <c r="Y32" s="282">
        <v>0.72960515894530087</v>
      </c>
      <c r="Z32" s="283">
        <v>24.52</v>
      </c>
      <c r="AA32" s="244">
        <v>27.051955519530388</v>
      </c>
      <c r="AB32" s="244">
        <v>24.5</v>
      </c>
      <c r="AC32" s="244">
        <f t="shared" si="8"/>
        <v>17.889918497338776</v>
      </c>
      <c r="AD32" s="244">
        <f t="shared" si="9"/>
        <v>39.825760684889005</v>
      </c>
      <c r="AF32" s="257"/>
      <c r="AG32" s="258"/>
      <c r="AL32" s="259"/>
      <c r="AM32" s="260"/>
    </row>
    <row r="33" spans="1:39" x14ac:dyDescent="0.25">
      <c r="B33" s="50" t="s">
        <v>619</v>
      </c>
      <c r="H33" s="268"/>
      <c r="I33" s="239" t="s">
        <v>482</v>
      </c>
      <c r="J33" s="243">
        <f>SUMIF(Analytica!$B$17:$B$41,$I33,Analytica!$J$17:$J$41)</f>
        <v>108321.14497488301</v>
      </c>
      <c r="K33" s="248"/>
      <c r="L33" s="269">
        <f>SUMIF(Analytica!$B$17:$B$41,$I33,Analytica!$V$17:$V$41)</f>
        <v>37.932288748919603</v>
      </c>
      <c r="M33" s="280">
        <f t="shared" si="3"/>
        <v>14.45220201333837</v>
      </c>
      <c r="N33" s="243">
        <f>SUMIF(Analytica!$B$17:$B$41,$I33,Analytica!$AI$17:$AI$41)*1000</f>
        <v>1128.25320373206</v>
      </c>
      <c r="O33" s="271">
        <f t="shared" si="4"/>
        <v>0.12221367884983668</v>
      </c>
      <c r="P33" s="264">
        <f t="shared" si="5"/>
        <v>1766.2567755310988</v>
      </c>
      <c r="Q33" s="281">
        <v>5.1152971048015888E-3</v>
      </c>
      <c r="S33" s="273"/>
      <c r="V33" s="239" t="s">
        <v>273</v>
      </c>
      <c r="W33" s="246">
        <f t="shared" si="6"/>
        <v>22.214710287564412</v>
      </c>
      <c r="X33" s="246">
        <f t="shared" si="7"/>
        <v>0.81322711584349738</v>
      </c>
      <c r="Y33" s="282">
        <v>0.72998711869911637</v>
      </c>
      <c r="Z33" s="283">
        <v>25.21</v>
      </c>
      <c r="AA33" s="244">
        <v>25.656235804837785</v>
      </c>
      <c r="AB33" s="244">
        <v>34.5</v>
      </c>
      <c r="AC33" s="244">
        <f t="shared" si="8"/>
        <v>18.402975262404723</v>
      </c>
      <c r="AD33" s="244">
        <f t="shared" si="9"/>
        <v>2.2490953086010199</v>
      </c>
      <c r="AF33" s="257"/>
      <c r="AG33" s="258"/>
      <c r="AL33" s="259"/>
      <c r="AM33" s="260"/>
    </row>
    <row r="34" spans="1:39" x14ac:dyDescent="0.25">
      <c r="B34" s="50" t="s">
        <v>620</v>
      </c>
      <c r="H34" s="268"/>
      <c r="I34" s="239" t="s">
        <v>483</v>
      </c>
      <c r="J34" s="243">
        <f>SUMIF(Analytica!$B$17:$B$41,$I34,Analytica!$J$17:$J$41)</f>
        <v>69373.326398147998</v>
      </c>
      <c r="K34" s="248"/>
      <c r="L34" s="269">
        <f>SUMIF(Analytica!$B$17:$B$41,$I34,Analytica!$V$17:$V$41)</f>
        <v>48.273056219283099</v>
      </c>
      <c r="M34" s="280">
        <f t="shared" si="3"/>
        <v>18.392034419546864</v>
      </c>
      <c r="N34" s="243">
        <f>SUMIF(Analytica!$B$17:$B$41,$I34,Analytica!$AI$17:$AI$41)*1000</f>
        <v>423.96796687300599</v>
      </c>
      <c r="O34" s="271">
        <f t="shared" si="4"/>
        <v>2.9412068148240243E-2</v>
      </c>
      <c r="P34" s="264">
        <f t="shared" si="5"/>
        <v>540.94776973249247</v>
      </c>
      <c r="Q34" s="281">
        <v>3.7027600148831102E-3</v>
      </c>
      <c r="S34" s="273"/>
      <c r="V34" s="239" t="s">
        <v>275</v>
      </c>
      <c r="W34" s="246">
        <f t="shared" si="6"/>
        <v>19.966286027180761</v>
      </c>
      <c r="X34" s="246">
        <f t="shared" si="7"/>
        <v>0.73091771127350336</v>
      </c>
      <c r="Y34" s="282">
        <v>0.72999057085957486</v>
      </c>
      <c r="Z34" s="283">
        <v>30.01</v>
      </c>
      <c r="AA34" s="244">
        <v>30.006771737132578</v>
      </c>
      <c r="AB34" s="244">
        <v>35.5</v>
      </c>
      <c r="AC34" s="244">
        <f t="shared" si="8"/>
        <v>21.907017031495844</v>
      </c>
      <c r="AD34" s="244">
        <f t="shared" si="9"/>
        <v>0.64433067785501541</v>
      </c>
      <c r="AF34" s="257"/>
      <c r="AG34" s="258"/>
      <c r="AL34" s="259"/>
      <c r="AM34" s="260"/>
    </row>
    <row r="35" spans="1:39" x14ac:dyDescent="0.25">
      <c r="A35" s="239" t="s">
        <v>475</v>
      </c>
      <c r="B35" s="50" t="s">
        <v>621</v>
      </c>
      <c r="C35" s="243">
        <f>SUMIF(Analytica!$B$17:$B$41,$A35,Analytica!$J$17:$J$41)</f>
        <v>13782.969469301601</v>
      </c>
      <c r="D35" s="269">
        <f>SUMIF(Analytica!$B$17:$B$41,$A35,Analytica!$V$17:$V$41)</f>
        <v>19.628700201694802</v>
      </c>
      <c r="E35" s="270">
        <f>D35*E$7/100</f>
        <v>6.7130154689796226</v>
      </c>
      <c r="F35" s="243">
        <f>SUMIF(Analytica!$B$17:$B$41,$A35,Analytica!$AI$17:$AI$41)*1000</f>
        <v>2333.55548599952</v>
      </c>
      <c r="G35" s="271">
        <f>F35*C35/1000000000</f>
        <v>3.2163324018452642E-2</v>
      </c>
      <c r="H35" s="264">
        <f>G35*E35*1000</f>
        <v>215.91289166967641</v>
      </c>
      <c r="I35" s="239" t="s">
        <v>474</v>
      </c>
      <c r="J35" s="243">
        <f>SUMIF(Analytica!$B$17:$B$41,$I35,Analytica!$J$17:$J$41)</f>
        <v>28672.905293975698</v>
      </c>
      <c r="K35" s="248"/>
      <c r="L35" s="269">
        <f>SUMIF(Analytica!$B$17:$B$41,$I35,Analytica!$V$17:$V$41)</f>
        <v>15.4098612224773</v>
      </c>
      <c r="M35" s="280">
        <f t="shared" si="3"/>
        <v>5.8711571257638511</v>
      </c>
      <c r="N35" s="243">
        <f>SUMIF(Analytica!$B$17:$B$41,$I35,Analytica!$AI$17:$AI$41)*1000</f>
        <v>126227.705550552</v>
      </c>
      <c r="O35" s="271">
        <f t="shared" si="4"/>
        <v>3.619315046726828</v>
      </c>
      <c r="P35" s="264">
        <f t="shared" si="5"/>
        <v>21249.567326974542</v>
      </c>
      <c r="Q35" s="281">
        <v>2.5234364936981984E-2</v>
      </c>
      <c r="S35" s="273"/>
      <c r="V35" s="239" t="s">
        <v>254</v>
      </c>
      <c r="W35" s="246">
        <f t="shared" si="6"/>
        <v>95.130117920310354</v>
      </c>
      <c r="X35" s="246">
        <f t="shared" si="7"/>
        <v>3.4824848231080705</v>
      </c>
      <c r="Y35" s="282">
        <v>0.45</v>
      </c>
      <c r="Z35" s="283">
        <v>3.298</v>
      </c>
      <c r="AB35" s="244">
        <v>3.9</v>
      </c>
      <c r="AC35" s="244">
        <f t="shared" si="8"/>
        <v>1.4841</v>
      </c>
      <c r="AD35" s="244">
        <f t="shared" si="9"/>
        <v>5.3714254608472851</v>
      </c>
      <c r="AE35" s="279">
        <f>SOL!L16+SOL!L17</f>
        <v>152</v>
      </c>
      <c r="AF35" s="285">
        <f>P35/AD35/1000</f>
        <v>3.9560387613798609</v>
      </c>
      <c r="AG35" s="258"/>
      <c r="AL35" s="259"/>
      <c r="AM35" s="260"/>
    </row>
    <row r="36" spans="1:39" x14ac:dyDescent="0.25">
      <c r="A36" s="239" t="s">
        <v>485</v>
      </c>
      <c r="B36" s="50" t="s">
        <v>622</v>
      </c>
      <c r="C36" s="243">
        <f>SUMIF(Analytica!$B$17:$B$41,$A36,Analytica!$J$17:$J$41)</f>
        <v>15002.6868469618</v>
      </c>
      <c r="D36" s="269">
        <f>SUMIF(Analytica!$B$17:$B$41,$A36,Analytica!$V$17:$V$41)</f>
        <v>14.176565003733501</v>
      </c>
      <c r="E36" s="270">
        <f>D36*E$7/100</f>
        <v>4.8483852312768576</v>
      </c>
      <c r="F36" s="243">
        <f>SUMIF(Analytica!$B$17:$B$41,$A36,Analytica!$AI$17:$AI$41)*1000</f>
        <v>1296711.2413349801</v>
      </c>
      <c r="G36" s="271">
        <f>F36*C36/1000000000</f>
        <v>19.454152684683816</v>
      </c>
      <c r="H36" s="264">
        <f>G36*E36*1000</f>
        <v>94321.22656342604</v>
      </c>
      <c r="I36" s="239" t="s">
        <v>484</v>
      </c>
      <c r="J36" s="243">
        <f>SUMIF(Analytica!$B$17:$B$41,$I36,Analytica!$J$17:$J$41)</f>
        <v>24428.944976716801</v>
      </c>
      <c r="K36" s="248"/>
      <c r="L36" s="269">
        <f>SUMIF(Analytica!$B$17:$B$41,$I36,Analytica!$V$17:$V$41)</f>
        <v>11.124053535325499</v>
      </c>
      <c r="M36" s="280">
        <f t="shared" si="3"/>
        <v>4.2382643969590159</v>
      </c>
      <c r="N36" s="243">
        <f>SUMIF(Analytica!$B$17:$B$41,$I36,Analytica!$AI$17:$AI$41)*1000</f>
        <v>1151530.20025537</v>
      </c>
      <c r="O36" s="271">
        <f t="shared" si="4"/>
        <v>28.130667901066111</v>
      </c>
      <c r="P36" s="264">
        <f t="shared" si="5"/>
        <v>119225.2082277663</v>
      </c>
      <c r="Q36" s="281">
        <v>5.071250657497315E-2</v>
      </c>
      <c r="S36" s="273"/>
      <c r="V36" s="239" t="s">
        <v>623</v>
      </c>
      <c r="W36" s="246">
        <f t="shared" si="6"/>
        <v>240.68655559157969</v>
      </c>
      <c r="X36" s="246">
        <f t="shared" si="7"/>
        <v>8.8109559338082093</v>
      </c>
      <c r="Y36" s="282">
        <v>0.4</v>
      </c>
      <c r="Z36" s="283">
        <v>0.99460000000000004</v>
      </c>
      <c r="AB36" s="244">
        <v>1</v>
      </c>
      <c r="AC36" s="244">
        <f t="shared" si="8"/>
        <v>0.39784000000000003</v>
      </c>
      <c r="AD36" s="244">
        <f t="shared" si="9"/>
        <v>11.191504917760142</v>
      </c>
      <c r="AE36" s="271"/>
      <c r="AF36" s="285">
        <f>P36/AD36/1000</f>
        <v>10.653188208724652</v>
      </c>
      <c r="AG36" s="258"/>
      <c r="AL36" s="259"/>
      <c r="AM36" s="260"/>
    </row>
    <row r="37" spans="1:39" x14ac:dyDescent="0.25">
      <c r="B37" s="34" t="s">
        <v>624</v>
      </c>
      <c r="D37" s="239" t="s">
        <v>87</v>
      </c>
      <c r="H37" s="268"/>
      <c r="K37" s="248"/>
      <c r="L37" s="248"/>
      <c r="M37" s="248"/>
      <c r="N37" s="248"/>
      <c r="O37" s="248"/>
      <c r="P37" s="256">
        <f>EB_2017!AK85</f>
        <v>6473.0170817620256</v>
      </c>
      <c r="Q37" s="249"/>
      <c r="S37" s="286">
        <v>11809.512000000001</v>
      </c>
      <c r="V37" s="239" t="s">
        <v>625</v>
      </c>
      <c r="W37" s="246" t="e">
        <f t="shared" si="6"/>
        <v>#DIV/0!</v>
      </c>
      <c r="X37" s="246" t="e">
        <f t="shared" si="7"/>
        <v>#DIV/0!</v>
      </c>
      <c r="Y37" s="282">
        <v>0.45</v>
      </c>
      <c r="Z37" s="283">
        <v>3.0019999999999998</v>
      </c>
      <c r="AD37" s="244">
        <f>Y37*Z37*G35</f>
        <v>4.3449434416527676E-2</v>
      </c>
      <c r="AE37" s="244">
        <f>SUM(AD35:AD36)</f>
        <v>16.562930378607426</v>
      </c>
      <c r="AF37" s="257"/>
      <c r="AG37" s="258"/>
      <c r="AL37" s="259"/>
      <c r="AM37" s="260"/>
    </row>
    <row r="38" spans="1:39" x14ac:dyDescent="0.25">
      <c r="B38" s="47" t="s">
        <v>135</v>
      </c>
      <c r="H38" s="268"/>
      <c r="K38" s="248"/>
      <c r="L38" s="248"/>
      <c r="M38" s="248"/>
      <c r="N38" s="248"/>
      <c r="O38" s="248"/>
      <c r="P38" s="268"/>
      <c r="Q38" s="248"/>
      <c r="S38" s="287">
        <f>S37-S41</f>
        <v>2509.7852160000002</v>
      </c>
      <c r="V38" s="239" t="s">
        <v>278</v>
      </c>
      <c r="W38" s="246" t="e">
        <f t="shared" si="6"/>
        <v>#DIV/0!</v>
      </c>
      <c r="X38" s="246" t="e">
        <f t="shared" si="7"/>
        <v>#DIV/0!</v>
      </c>
      <c r="Y38" s="282">
        <v>0.4</v>
      </c>
      <c r="Z38" s="288">
        <v>0.99590000000000001</v>
      </c>
      <c r="AD38" s="244">
        <f>Y38*Z38*G36</f>
        <v>7.7497562634706458</v>
      </c>
      <c r="AE38" s="240">
        <f>SUM(SOL!L16:L17)</f>
        <v>152</v>
      </c>
      <c r="AF38" s="257"/>
      <c r="AG38" s="258"/>
      <c r="AL38" s="259"/>
      <c r="AM38" s="260"/>
    </row>
    <row r="39" spans="1:39" x14ac:dyDescent="0.25">
      <c r="B39" s="50" t="s">
        <v>145</v>
      </c>
      <c r="H39" s="268"/>
      <c r="I39" s="248"/>
      <c r="J39" s="248"/>
      <c r="K39" s="248"/>
      <c r="L39" s="248"/>
      <c r="M39" s="248"/>
      <c r="N39" s="248"/>
      <c r="O39" s="248"/>
      <c r="P39" s="268"/>
      <c r="Q39" s="248"/>
      <c r="S39" s="289"/>
      <c r="AD39" s="244"/>
      <c r="AF39" s="257"/>
      <c r="AG39" s="258"/>
      <c r="AL39" s="259"/>
      <c r="AM39" s="260"/>
    </row>
    <row r="40" spans="1:39" x14ac:dyDescent="0.25">
      <c r="B40" s="50" t="s">
        <v>146</v>
      </c>
      <c r="H40" s="268"/>
      <c r="I40" s="248"/>
      <c r="J40" s="248"/>
      <c r="K40" s="248"/>
      <c r="L40" s="248"/>
      <c r="M40" s="248"/>
      <c r="N40" s="248"/>
      <c r="O40" s="248"/>
      <c r="P40" s="268"/>
      <c r="Q40" s="248"/>
      <c r="S40" s="289"/>
      <c r="AD40" s="244"/>
      <c r="AF40" s="257"/>
      <c r="AG40" s="258"/>
      <c r="AL40" s="259"/>
      <c r="AM40" s="260"/>
    </row>
    <row r="41" spans="1:39" ht="15.75" thickBot="1" x14ac:dyDescent="0.3">
      <c r="B41" s="47" t="s">
        <v>141</v>
      </c>
      <c r="H41" s="290"/>
      <c r="I41" s="248"/>
      <c r="J41" s="248"/>
      <c r="K41" s="248"/>
      <c r="L41" s="248"/>
      <c r="M41" s="248"/>
      <c r="N41" s="248"/>
      <c r="O41" s="248"/>
      <c r="P41" s="291">
        <f>P37</f>
        <v>6473.0170817620256</v>
      </c>
      <c r="Q41" s="292"/>
      <c r="S41" s="291">
        <f>EB_2017!BD85</f>
        <v>9299.7267840000004</v>
      </c>
      <c r="AC41" s="239" t="s">
        <v>626</v>
      </c>
      <c r="AD41" s="279">
        <f>AD42+AD44+AD43</f>
        <v>129.1</v>
      </c>
      <c r="AE41" s="293"/>
      <c r="AF41" s="294"/>
      <c r="AG41" s="295"/>
      <c r="AL41" s="296"/>
      <c r="AM41" s="297"/>
    </row>
    <row r="42" spans="1:39" x14ac:dyDescent="0.25">
      <c r="B42" s="50" t="s">
        <v>627</v>
      </c>
      <c r="H42" s="248"/>
      <c r="I42" s="248"/>
      <c r="J42" s="248"/>
      <c r="K42" s="248"/>
      <c r="L42" s="248"/>
      <c r="M42" s="248"/>
      <c r="N42" s="248"/>
      <c r="O42" s="248"/>
      <c r="P42" s="292">
        <f>$AE42*P$41</f>
        <v>2560.577144450077</v>
      </c>
      <c r="Q42" s="292"/>
      <c r="S42" s="292">
        <f>$AE42*S$41</f>
        <v>3678.7586919604651</v>
      </c>
      <c r="V42" s="298"/>
      <c r="W42" s="298"/>
      <c r="AD42" s="299">
        <f>SOL!L19</f>
        <v>22</v>
      </c>
      <c r="AE42" s="300">
        <f>1-SUM(AE43:AE44)</f>
        <v>0.39557707203718051</v>
      </c>
      <c r="AF42" s="301">
        <f>AD42/(S41/P41*S42/1000+P42/1000)</f>
        <v>2.8040417913534488</v>
      </c>
      <c r="AG42" s="301">
        <f>AF42*S41/P41</f>
        <v>4.0285422116338081</v>
      </c>
      <c r="AL42" s="244">
        <f>P42*AF42/1000</f>
        <v>7.1799653230224925</v>
      </c>
      <c r="AM42" s="244">
        <f>S42*AG42/1000</f>
        <v>14.820034676977507</v>
      </c>
    </row>
    <row r="43" spans="1:39" x14ac:dyDescent="0.25">
      <c r="B43" s="50" t="s">
        <v>628</v>
      </c>
      <c r="H43" s="248"/>
      <c r="I43" s="248"/>
      <c r="J43" s="248"/>
      <c r="K43" s="248"/>
      <c r="L43" s="248"/>
      <c r="M43" s="248"/>
      <c r="N43" s="248"/>
      <c r="O43" s="248"/>
      <c r="P43" s="292">
        <f>$AE43*P$41</f>
        <v>1258.5029337895187</v>
      </c>
      <c r="Q43" s="292"/>
      <c r="S43" s="292">
        <f>$AE43*S$41</f>
        <v>1808.0801105995356</v>
      </c>
      <c r="V43" s="298"/>
      <c r="W43" s="298"/>
      <c r="AD43" s="299">
        <f>SUM(SOL!L20:L21)</f>
        <v>25.1</v>
      </c>
      <c r="AE43" s="300">
        <f>AD43/$AD$41</f>
        <v>0.19442292796281954</v>
      </c>
      <c r="AF43" s="301">
        <f t="shared" ref="AF43:AF44" si="10">AD43/(S42/P42*S43/1000+P43/1000)</f>
        <v>6.5090731928467855</v>
      </c>
      <c r="AG43" s="301">
        <f t="shared" ref="AG43:AG44" si="11">AF43*S42/P42</f>
        <v>9.3515282820875871</v>
      </c>
      <c r="AL43" s="244">
        <f>P43*AF43/1000</f>
        <v>8.1916877094483898</v>
      </c>
      <c r="AM43" s="244">
        <f>S43*AG43/1000</f>
        <v>16.90831229055161</v>
      </c>
    </row>
    <row r="44" spans="1:39" x14ac:dyDescent="0.25">
      <c r="B44" s="50" t="s">
        <v>629</v>
      </c>
      <c r="H44" s="248"/>
      <c r="I44" s="248"/>
      <c r="J44" s="248"/>
      <c r="K44" s="248"/>
      <c r="L44" s="248"/>
      <c r="M44" s="248"/>
      <c r="N44" s="248"/>
      <c r="O44" s="248"/>
      <c r="P44" s="292">
        <f>$AE44*P$41</f>
        <v>2653.9370035224301</v>
      </c>
      <c r="Q44" s="292"/>
      <c r="S44" s="292">
        <f>$AE44*S$41</f>
        <v>3812.8879814399997</v>
      </c>
      <c r="V44" s="298"/>
      <c r="W44" s="298"/>
      <c r="AD44" s="299">
        <f>SOL!L22</f>
        <v>82</v>
      </c>
      <c r="AE44" s="300">
        <v>0.41</v>
      </c>
      <c r="AF44" s="301">
        <f t="shared" si="10"/>
        <v>10.083769469940801</v>
      </c>
      <c r="AG44" s="301">
        <f t="shared" si="11"/>
        <v>14.487263024148088</v>
      </c>
      <c r="AL44" s="244">
        <f>P44*AF44/1000</f>
        <v>26.761688931265653</v>
      </c>
      <c r="AM44" s="244">
        <f>S44*AG44/1000</f>
        <v>55.238311068734347</v>
      </c>
    </row>
    <row r="45" spans="1:39" x14ac:dyDescent="0.25">
      <c r="U45" s="239" t="s">
        <v>630</v>
      </c>
      <c r="V45" s="239" t="s">
        <v>631</v>
      </c>
      <c r="W45" s="239" t="s">
        <v>606</v>
      </c>
      <c r="AD45" s="299">
        <f>SUM(AD27:AD41)</f>
        <v>353.23831111832794</v>
      </c>
      <c r="AE45" s="293"/>
      <c r="AI45" s="239" t="s">
        <v>87</v>
      </c>
    </row>
    <row r="46" spans="1:39" x14ac:dyDescent="0.25">
      <c r="F46" s="302">
        <f>SUM(F18:F44)</f>
        <v>8468998.7978824321</v>
      </c>
      <c r="G46" s="303" t="s">
        <v>87</v>
      </c>
      <c r="N46" s="302">
        <f>SUM(N18:N44)</f>
        <v>2447387.2307896959</v>
      </c>
      <c r="U46" s="304">
        <f>N46+F46</f>
        <v>10916386.028672129</v>
      </c>
      <c r="V46" s="304">
        <v>7653045</v>
      </c>
      <c r="W46" s="305">
        <f>V46/U46-1</f>
        <v>-0.29893968755785039</v>
      </c>
      <c r="AC46" s="239" t="s">
        <v>632</v>
      </c>
      <c r="AD46" s="279">
        <f>SOL!L23</f>
        <v>430.1</v>
      </c>
      <c r="AE46" s="306">
        <f>1-AD45/AD46</f>
        <v>0.1787065540145828</v>
      </c>
    </row>
    <row r="47" spans="1:39" x14ac:dyDescent="0.25">
      <c r="AG47" s="240">
        <f>1/9.4</f>
        <v>0.10638297872340426</v>
      </c>
    </row>
    <row r="48" spans="1:39" x14ac:dyDescent="0.25">
      <c r="T48" s="239" t="s">
        <v>87</v>
      </c>
    </row>
    <row r="53" spans="11:14" x14ac:dyDescent="0.25">
      <c r="K53" s="18">
        <v>15.6991</v>
      </c>
      <c r="M53" s="239" t="s">
        <v>633</v>
      </c>
      <c r="N53" s="307">
        <v>13865</v>
      </c>
    </row>
    <row r="58" spans="11:14" x14ac:dyDescent="0.25">
      <c r="N58" s="239" t="s">
        <v>87</v>
      </c>
    </row>
    <row r="65" spans="6:15" x14ac:dyDescent="0.25">
      <c r="M65" s="239" t="s">
        <v>87</v>
      </c>
    </row>
    <row r="69" spans="6:15" x14ac:dyDescent="0.25">
      <c r="F69" s="245" t="s">
        <v>634</v>
      </c>
      <c r="G69" s="245" t="s">
        <v>635</v>
      </c>
      <c r="H69" s="245" t="s">
        <v>636</v>
      </c>
      <c r="I69" s="245" t="s">
        <v>637</v>
      </c>
      <c r="J69" s="245" t="s">
        <v>638</v>
      </c>
      <c r="K69" s="245" t="s">
        <v>639</v>
      </c>
      <c r="L69" s="245" t="s">
        <v>640</v>
      </c>
      <c r="M69" s="245" t="s">
        <v>641</v>
      </c>
      <c r="N69" s="245" t="s">
        <v>642</v>
      </c>
      <c r="O69" s="245" t="s">
        <v>643</v>
      </c>
    </row>
    <row r="70" spans="6:15" x14ac:dyDescent="0.25">
      <c r="G70" s="239" t="s">
        <v>644</v>
      </c>
      <c r="H70" s="239" t="s">
        <v>600</v>
      </c>
      <c r="I70" s="308" t="s">
        <v>645</v>
      </c>
      <c r="J70" s="239" t="s">
        <v>646</v>
      </c>
      <c r="K70" s="239" t="s">
        <v>647</v>
      </c>
      <c r="L70" s="239" t="s">
        <v>648</v>
      </c>
      <c r="O70" s="239" t="s">
        <v>649</v>
      </c>
    </row>
    <row r="71" spans="6:15" x14ac:dyDescent="0.25">
      <c r="F71" s="239" t="s">
        <v>650</v>
      </c>
      <c r="G71" s="244">
        <f>(N24/1000000)</f>
        <v>2.51952522652347E-2</v>
      </c>
      <c r="H71" s="244">
        <f>O24</f>
        <v>0.6429669717887786</v>
      </c>
      <c r="I71" s="244">
        <f>H71/G71</f>
        <v>25.519370277390202</v>
      </c>
      <c r="K71" s="309">
        <v>25</v>
      </c>
      <c r="L71" s="244">
        <f>K71*H71</f>
        <v>16.074174294719466</v>
      </c>
      <c r="M71" s="306">
        <f>L71/$L$75</f>
        <v>0.13731934448765049</v>
      </c>
      <c r="N71" s="66">
        <f>L71/L$81</f>
        <v>6.1513670152316423E-2</v>
      </c>
      <c r="O71" s="66">
        <v>0.1</v>
      </c>
    </row>
    <row r="72" spans="6:15" x14ac:dyDescent="0.25">
      <c r="F72" s="239" t="s">
        <v>651</v>
      </c>
      <c r="G72" s="244">
        <f>(F23+N23)/1000000</f>
        <v>0.32372656979486564</v>
      </c>
      <c r="H72" s="244">
        <f>G23+O23</f>
        <v>7.2130505455454896</v>
      </c>
      <c r="I72" s="244">
        <f>H72/G72</f>
        <v>22.281305331583226</v>
      </c>
      <c r="K72" s="309">
        <v>14</v>
      </c>
      <c r="L72" s="244">
        <f>K72*H72</f>
        <v>100.98270763763685</v>
      </c>
      <c r="M72" s="306">
        <f>L72/$L$75</f>
        <v>0.86268065551234951</v>
      </c>
      <c r="N72" s="66">
        <f>L72/L$81</f>
        <v>0.38644703328556318</v>
      </c>
      <c r="O72" s="66">
        <v>0.4</v>
      </c>
    </row>
    <row r="73" spans="6:15" x14ac:dyDescent="0.25">
      <c r="F73" s="239" t="s">
        <v>652</v>
      </c>
      <c r="G73" s="244"/>
      <c r="L73" s="244">
        <f>TRP_E!Y79</f>
        <v>0</v>
      </c>
      <c r="M73" s="305">
        <f>L73/$L$75</f>
        <v>0</v>
      </c>
      <c r="N73" s="66">
        <f>L73/L$81</f>
        <v>0</v>
      </c>
      <c r="O73" s="66">
        <v>0.08</v>
      </c>
    </row>
    <row r="74" spans="6:15" x14ac:dyDescent="0.25">
      <c r="F74" s="239" t="s">
        <v>653</v>
      </c>
      <c r="G74" s="244"/>
      <c r="J74" s="244">
        <v>14.3</v>
      </c>
      <c r="K74" s="310">
        <v>0.8</v>
      </c>
      <c r="L74" s="244">
        <f>K74*J74</f>
        <v>11.440000000000001</v>
      </c>
      <c r="M74" s="66"/>
      <c r="O74" s="66">
        <v>0.01</v>
      </c>
    </row>
    <row r="75" spans="6:15" x14ac:dyDescent="0.25">
      <c r="F75" s="245" t="s">
        <v>654</v>
      </c>
      <c r="G75" s="244"/>
      <c r="L75" s="311">
        <f>SUM(L71:L73)</f>
        <v>117.05688193235632</v>
      </c>
    </row>
    <row r="76" spans="6:15" x14ac:dyDescent="0.25">
      <c r="F76" s="245" t="s">
        <v>655</v>
      </c>
      <c r="G76" s="244"/>
    </row>
    <row r="77" spans="6:15" x14ac:dyDescent="0.25">
      <c r="F77" s="239" t="s">
        <v>656</v>
      </c>
      <c r="G77" s="244">
        <f>(F20+N20+F21)/1000000</f>
        <v>6.2938373501869744</v>
      </c>
      <c r="H77" s="244">
        <f>G20+O20</f>
        <v>81.069535078476804</v>
      </c>
      <c r="I77" s="244">
        <f>H77/G77</f>
        <v>12.880780129481488</v>
      </c>
      <c r="K77" s="312">
        <v>1.4</v>
      </c>
      <c r="L77" s="244">
        <f>K77*H77</f>
        <v>113.49734910986751</v>
      </c>
      <c r="M77" s="66">
        <f>L77/$L$80</f>
        <v>0.78678974499306031</v>
      </c>
      <c r="N77" s="66">
        <f>SUM(L77:L79)/L81</f>
        <v>0.55203929656212036</v>
      </c>
      <c r="O77" s="66">
        <v>0.4</v>
      </c>
    </row>
    <row r="78" spans="6:15" x14ac:dyDescent="0.25">
      <c r="F78" s="239" t="s">
        <v>657</v>
      </c>
      <c r="G78" s="244">
        <f>(F18+N18)/1000000</f>
        <v>0.91555998202632904</v>
      </c>
      <c r="H78" s="244">
        <f>G18+O18</f>
        <v>17.738272600772319</v>
      </c>
      <c r="I78" s="244">
        <f>H78/G78</f>
        <v>19.374233200443893</v>
      </c>
      <c r="K78" s="312">
        <v>1.4</v>
      </c>
      <c r="L78" s="244">
        <f>K78*H78</f>
        <v>24.833581641081246</v>
      </c>
      <c r="M78" s="66">
        <f>L78/$L$80</f>
        <v>0.1721521032860136</v>
      </c>
    </row>
    <row r="79" spans="6:15" x14ac:dyDescent="0.25">
      <c r="F79" s="239" t="s">
        <v>658</v>
      </c>
      <c r="G79" s="244">
        <f>F22/1000000</f>
        <v>0.53277109028187397</v>
      </c>
      <c r="H79" s="244">
        <f>G22</f>
        <v>5.9227912022632543</v>
      </c>
      <c r="I79" s="244">
        <f>H79/G79</f>
        <v>11.1169530597647</v>
      </c>
      <c r="K79" s="312">
        <v>1</v>
      </c>
      <c r="L79" s="244">
        <f>K79*H79</f>
        <v>5.9227912022632543</v>
      </c>
      <c r="M79" s="66">
        <f>L79/$L$80</f>
        <v>4.1058151720926007E-2</v>
      </c>
    </row>
    <row r="80" spans="6:15" x14ac:dyDescent="0.25">
      <c r="G80" s="311">
        <f>SUM(G77:G79)</f>
        <v>7.742168422495177</v>
      </c>
      <c r="H80" s="311">
        <f>SUM(H77:H79)</f>
        <v>104.73059888151238</v>
      </c>
      <c r="I80" s="244">
        <f>SUMPRODUCT(G77:G79,I77:I79)/G80</f>
        <v>13.527295347542877</v>
      </c>
      <c r="L80" s="311">
        <f>SUM(L77:L79)</f>
        <v>144.25372195321202</v>
      </c>
    </row>
    <row r="81" spans="5:24" x14ac:dyDescent="0.25">
      <c r="L81" s="244">
        <f>L80+L75</f>
        <v>261.31060388556836</v>
      </c>
    </row>
    <row r="82" spans="5:24" x14ac:dyDescent="0.25">
      <c r="H82" s="244">
        <f>H86*H85</f>
        <v>0.56520000000000004</v>
      </c>
      <c r="I82" s="244">
        <f>I86*I85</f>
        <v>8.9866799999999998</v>
      </c>
      <c r="J82" s="244">
        <f>J86*J85</f>
        <v>8.859891891891893</v>
      </c>
    </row>
    <row r="83" spans="5:24" x14ac:dyDescent="0.25">
      <c r="F83" s="245" t="s">
        <v>659</v>
      </c>
      <c r="G83" s="245" t="s">
        <v>499</v>
      </c>
      <c r="H83" s="245" t="s">
        <v>660</v>
      </c>
      <c r="I83" s="245" t="s">
        <v>661</v>
      </c>
      <c r="J83" s="245" t="s">
        <v>662</v>
      </c>
      <c r="K83" s="245" t="s">
        <v>663</v>
      </c>
      <c r="L83" s="245" t="s">
        <v>664</v>
      </c>
      <c r="M83" s="245" t="s">
        <v>642</v>
      </c>
      <c r="N83" s="245" t="s">
        <v>501</v>
      </c>
    </row>
    <row r="84" spans="5:24" x14ac:dyDescent="0.25">
      <c r="F84" s="245" t="s">
        <v>665</v>
      </c>
      <c r="G84" s="239" t="s">
        <v>666</v>
      </c>
      <c r="H84" s="66">
        <v>0.5</v>
      </c>
      <c r="I84" s="66">
        <v>0.3</v>
      </c>
      <c r="J84" s="66">
        <v>0.2</v>
      </c>
      <c r="K84" s="313">
        <v>2017</v>
      </c>
    </row>
    <row r="85" spans="5:24" x14ac:dyDescent="0.25">
      <c r="E85" s="244">
        <f>SUM(H82:J82)</f>
        <v>18.411771891891895</v>
      </c>
      <c r="F85" s="245" t="s">
        <v>667</v>
      </c>
      <c r="G85" s="239" t="s">
        <v>668</v>
      </c>
      <c r="H85" s="244">
        <f>H84*$K$85</f>
        <v>28.26</v>
      </c>
      <c r="I85" s="244">
        <f>I84*$K$85</f>
        <v>16.956</v>
      </c>
      <c r="J85" s="244">
        <f>J84*$K$85</f>
        <v>11.304000000000002</v>
      </c>
      <c r="K85" s="244">
        <v>56.52</v>
      </c>
      <c r="L85" s="244">
        <f>SUM(H85:J85)</f>
        <v>56.52</v>
      </c>
      <c r="N85" s="239" t="s">
        <v>669</v>
      </c>
    </row>
    <row r="86" spans="5:24" x14ac:dyDescent="0.25">
      <c r="E86" s="66">
        <f>E85/SUM(H85:J85)</f>
        <v>0.3257567567567568</v>
      </c>
      <c r="F86" s="245" t="s">
        <v>670</v>
      </c>
      <c r="G86" s="239" t="s">
        <v>671</v>
      </c>
      <c r="H86" s="314">
        <v>0.02</v>
      </c>
      <c r="I86" s="314">
        <v>0.53</v>
      </c>
      <c r="J86" s="314">
        <v>0.78378378378378377</v>
      </c>
      <c r="L86" s="66">
        <f>SUMPRODUCT(H85:J85,H86:J86)/L85</f>
        <v>0.3257567567567568</v>
      </c>
      <c r="M86" s="314">
        <f>1-77%</f>
        <v>0.22999999999999998</v>
      </c>
      <c r="N86" s="239" t="s">
        <v>672</v>
      </c>
      <c r="U86" s="239">
        <v>25.9284</v>
      </c>
      <c r="V86" s="239">
        <v>15.557039999999999</v>
      </c>
      <c r="W86" s="239">
        <v>10.371360000000001</v>
      </c>
    </row>
    <row r="87" spans="5:24" x14ac:dyDescent="0.25">
      <c r="F87" s="245" t="s">
        <v>673</v>
      </c>
      <c r="G87" s="239" t="s">
        <v>674</v>
      </c>
      <c r="H87" s="315">
        <f>1/4</f>
        <v>0.25</v>
      </c>
      <c r="I87" s="315">
        <f>1.2/4</f>
        <v>0.3</v>
      </c>
      <c r="J87" s="315">
        <v>0.40039186287579059</v>
      </c>
    </row>
    <row r="88" spans="5:24" x14ac:dyDescent="0.25">
      <c r="F88" s="245" t="s">
        <v>675</v>
      </c>
      <c r="G88" s="239" t="s">
        <v>644</v>
      </c>
      <c r="H88" s="244">
        <f>H87*H86*H85</f>
        <v>0.14130000000000001</v>
      </c>
      <c r="I88" s="244">
        <f>I87*I86*I85</f>
        <v>2.6960039999999998</v>
      </c>
      <c r="J88" s="244">
        <f>J87*J86*J85</f>
        <v>3.5474286194727078</v>
      </c>
      <c r="K88" s="244">
        <f>M88-SUM(H88:J88)</f>
        <v>0.82466471274059572</v>
      </c>
      <c r="L88" s="244">
        <f>SUM(H88:K88)</f>
        <v>7.2093973322133031</v>
      </c>
      <c r="M88" s="244">
        <f>SUM(G77:G78)</f>
        <v>7.2093973322133031</v>
      </c>
      <c r="N88" s="66">
        <f>K88/M88</f>
        <v>0.11438746884650088</v>
      </c>
    </row>
    <row r="89" spans="5:24" x14ac:dyDescent="0.25">
      <c r="F89" s="245" t="s">
        <v>676</v>
      </c>
      <c r="G89" s="239" t="s">
        <v>671</v>
      </c>
      <c r="H89" s="316">
        <f>H86*0.11/4</f>
        <v>5.5000000000000003E-4</v>
      </c>
      <c r="I89" s="316">
        <f t="shared" ref="I89:J89" si="12">I86*0.11/4</f>
        <v>1.4575000000000001E-2</v>
      </c>
      <c r="J89" s="316">
        <f t="shared" si="12"/>
        <v>2.1554054054054052E-2</v>
      </c>
    </row>
    <row r="90" spans="5:24" x14ac:dyDescent="0.25">
      <c r="F90" s="245" t="s">
        <v>677</v>
      </c>
      <c r="G90" s="239" t="s">
        <v>678</v>
      </c>
      <c r="H90" s="244">
        <f>H89*H85</f>
        <v>1.5543000000000001E-2</v>
      </c>
      <c r="I90" s="244">
        <f>I89*I85</f>
        <v>0.24713370000000001</v>
      </c>
      <c r="J90" s="244">
        <f>J89*J85</f>
        <v>0.24364702702702706</v>
      </c>
      <c r="K90" s="244">
        <f>M90-SUM(H90:J90)</f>
        <v>2.6447363254846867E-2</v>
      </c>
      <c r="L90" s="244">
        <f>SUM(H90:K90)</f>
        <v>0.53277109028187397</v>
      </c>
      <c r="M90" s="244">
        <f>G79</f>
        <v>0.53277109028187397</v>
      </c>
    </row>
    <row r="91" spans="5:24" x14ac:dyDescent="0.25">
      <c r="F91" s="245" t="s">
        <v>679</v>
      </c>
      <c r="H91" s="317">
        <v>0</v>
      </c>
      <c r="I91" s="317">
        <v>0.2</v>
      </c>
      <c r="J91" s="317">
        <v>0.3</v>
      </c>
    </row>
    <row r="92" spans="5:24" x14ac:dyDescent="0.25">
      <c r="F92" s="245" t="s">
        <v>680</v>
      </c>
      <c r="H92" s="318">
        <f>H89*(1-H91)+H86</f>
        <v>2.0549999999999999E-2</v>
      </c>
      <c r="I92" s="318">
        <f>I89*(1-I91)+I86</f>
        <v>0.54166000000000003</v>
      </c>
      <c r="J92" s="318">
        <f>J89*(1-J91)+J86</f>
        <v>0.79887162162162162</v>
      </c>
      <c r="L92" s="244">
        <f>SUM(H94:J94)</f>
        <v>18.795574770810813</v>
      </c>
      <c r="W92" s="308"/>
      <c r="X92" s="271"/>
    </row>
    <row r="93" spans="5:24" x14ac:dyDescent="0.25">
      <c r="F93" s="245" t="s">
        <v>681</v>
      </c>
      <c r="G93" s="239" t="s">
        <v>682</v>
      </c>
      <c r="H93" s="244">
        <f>H87</f>
        <v>0.25</v>
      </c>
      <c r="I93" s="244">
        <f>(I90+I88)/(I92*I85)</f>
        <v>0.32045009784735812</v>
      </c>
      <c r="J93" s="244">
        <f>(J90+J88)/(J92*J85)</f>
        <v>0.41981051054774643</v>
      </c>
      <c r="W93" s="308"/>
      <c r="X93" s="271"/>
    </row>
    <row r="94" spans="5:24" x14ac:dyDescent="0.25">
      <c r="F94" s="245" t="s">
        <v>683</v>
      </c>
      <c r="G94" s="239" t="s">
        <v>684</v>
      </c>
      <c r="H94" s="244">
        <f>H92*H85</f>
        <v>0.58074300000000001</v>
      </c>
      <c r="I94" s="244">
        <f>I92*I85</f>
        <v>9.1843869599999994</v>
      </c>
      <c r="J94" s="244">
        <f>J92*J85</f>
        <v>9.0304448108108133</v>
      </c>
      <c r="L94" s="244">
        <f>SUM(H95:J95)</f>
        <v>37.724425229189187</v>
      </c>
    </row>
    <row r="95" spans="5:24" x14ac:dyDescent="0.25">
      <c r="F95" s="245" t="s">
        <v>685</v>
      </c>
      <c r="G95" s="239" t="s">
        <v>684</v>
      </c>
      <c r="H95" s="244">
        <f>H85-H94</f>
        <v>27.679257</v>
      </c>
      <c r="I95" s="244">
        <f>I85-I94</f>
        <v>7.7716130400000001</v>
      </c>
      <c r="J95" s="244">
        <f>J85-J94</f>
        <v>2.2735551891891888</v>
      </c>
      <c r="L95" s="244"/>
      <c r="W95" s="308"/>
      <c r="X95" s="271"/>
    </row>
    <row r="96" spans="5:24" x14ac:dyDescent="0.25">
      <c r="F96" s="245" t="s">
        <v>686</v>
      </c>
      <c r="G96" s="239" t="s">
        <v>687</v>
      </c>
      <c r="H96" s="315">
        <v>1.1000000000000001</v>
      </c>
      <c r="I96" s="319">
        <f>H96</f>
        <v>1.1000000000000001</v>
      </c>
      <c r="J96" s="319">
        <f>I96</f>
        <v>1.1000000000000001</v>
      </c>
      <c r="L96" s="244"/>
      <c r="O96" s="244">
        <f>168/365</f>
        <v>0.46027397260273972</v>
      </c>
      <c r="P96" s="244">
        <f>H98/H97</f>
        <v>1.1000000000000001</v>
      </c>
    </row>
    <row r="97" spans="6:25" x14ac:dyDescent="0.25">
      <c r="F97" s="245" t="s">
        <v>688</v>
      </c>
      <c r="G97" s="239" t="s">
        <v>689</v>
      </c>
      <c r="H97" s="320">
        <v>300</v>
      </c>
      <c r="I97" s="321">
        <v>300</v>
      </c>
      <c r="J97" s="321">
        <v>300</v>
      </c>
      <c r="L97" s="244"/>
    </row>
    <row r="98" spans="6:25" x14ac:dyDescent="0.25">
      <c r="F98" s="245" t="s">
        <v>690</v>
      </c>
      <c r="G98" s="239" t="s">
        <v>691</v>
      </c>
      <c r="H98" s="322">
        <f>H96*H97</f>
        <v>330</v>
      </c>
      <c r="I98" s="322">
        <f>I96*I97</f>
        <v>330</v>
      </c>
      <c r="J98" s="322">
        <f>J96*J97</f>
        <v>330</v>
      </c>
      <c r="K98" s="322">
        <f>K96*K97</f>
        <v>0</v>
      </c>
      <c r="N98" s="244">
        <f>168/(1.1*365)</f>
        <v>0.41843088418430879</v>
      </c>
      <c r="O98" s="244">
        <f>1/N98</f>
        <v>2.3898809523809526</v>
      </c>
    </row>
    <row r="99" spans="6:25" x14ac:dyDescent="0.25">
      <c r="F99" s="245" t="s">
        <v>692</v>
      </c>
      <c r="G99" s="239" t="s">
        <v>693</v>
      </c>
      <c r="H99" s="323">
        <f>H98*H85</f>
        <v>9325.8000000000011</v>
      </c>
      <c r="I99" s="323">
        <f>I98*I85</f>
        <v>5595.48</v>
      </c>
      <c r="J99" s="323">
        <f>J98*J85</f>
        <v>3730.3200000000006</v>
      </c>
      <c r="L99" s="323">
        <f>SUM(H99:J99)</f>
        <v>18651.600000000002</v>
      </c>
      <c r="N99" s="244">
        <f>H98/365</f>
        <v>0.90410958904109584</v>
      </c>
      <c r="O99" s="244">
        <f>34/20.9</f>
        <v>1.6267942583732058</v>
      </c>
    </row>
    <row r="100" spans="6:25" x14ac:dyDescent="0.25">
      <c r="F100" s="245" t="s">
        <v>694</v>
      </c>
      <c r="G100" s="239" t="s">
        <v>225</v>
      </c>
      <c r="H100" s="317">
        <v>0.55000000000000004</v>
      </c>
      <c r="I100" s="324">
        <f t="shared" ref="I100:J102" si="13">H100</f>
        <v>0.55000000000000004</v>
      </c>
      <c r="J100" s="324">
        <f t="shared" si="13"/>
        <v>0.55000000000000004</v>
      </c>
      <c r="L100" s="244"/>
    </row>
    <row r="101" spans="6:25" x14ac:dyDescent="0.25">
      <c r="F101" s="245" t="s">
        <v>695</v>
      </c>
      <c r="G101" s="239" t="s">
        <v>696</v>
      </c>
      <c r="H101" s="325">
        <v>21.5</v>
      </c>
      <c r="I101" s="326">
        <f t="shared" si="13"/>
        <v>21.5</v>
      </c>
      <c r="J101" s="326">
        <f t="shared" si="13"/>
        <v>21.5</v>
      </c>
      <c r="L101" s="244"/>
    </row>
    <row r="102" spans="6:25" x14ac:dyDescent="0.25">
      <c r="F102" s="245" t="s">
        <v>697</v>
      </c>
      <c r="G102" s="239" t="s">
        <v>696</v>
      </c>
      <c r="H102" s="325">
        <v>33.5</v>
      </c>
      <c r="I102" s="326">
        <f t="shared" si="13"/>
        <v>33.5</v>
      </c>
      <c r="J102" s="326">
        <f t="shared" si="13"/>
        <v>33.5</v>
      </c>
      <c r="K102" s="326">
        <f>J102</f>
        <v>33.5</v>
      </c>
      <c r="L102" s="244"/>
    </row>
    <row r="103" spans="6:25" x14ac:dyDescent="0.25">
      <c r="F103" s="245" t="s">
        <v>698</v>
      </c>
      <c r="G103" s="308" t="s">
        <v>699</v>
      </c>
      <c r="H103" s="240">
        <f>H101*H98*(1-H100)/1000</f>
        <v>3.1927499999999998</v>
      </c>
      <c r="I103" s="240">
        <f>I101*I98*(1-I100)/1000</f>
        <v>3.1927499999999998</v>
      </c>
      <c r="J103" s="240">
        <f>J101*J98*(1-J100)/1000</f>
        <v>3.1927499999999998</v>
      </c>
      <c r="L103" s="244"/>
    </row>
    <row r="104" spans="6:25" x14ac:dyDescent="0.25">
      <c r="F104" s="245" t="s">
        <v>700</v>
      </c>
      <c r="G104" s="245"/>
      <c r="H104" s="327">
        <v>0.25</v>
      </c>
      <c r="I104" s="327">
        <v>0.52</v>
      </c>
      <c r="J104" s="327">
        <v>0.8</v>
      </c>
      <c r="L104" s="244"/>
    </row>
    <row r="105" spans="6:25" x14ac:dyDescent="0.25">
      <c r="F105" s="245" t="s">
        <v>701</v>
      </c>
      <c r="G105" s="308" t="s">
        <v>699</v>
      </c>
      <c r="H105" s="244">
        <f>(1-H104)*H101*H98*(1-H100)/1000</f>
        <v>2.3945624999999997</v>
      </c>
      <c r="I105" s="244">
        <f>(1-I104)*I101*I98*(1-I100)/1000</f>
        <v>1.5325199999999997</v>
      </c>
      <c r="J105" s="244">
        <f>(1-J104)*J101*J98*(1-J100)/1000</f>
        <v>0.63854999999999973</v>
      </c>
      <c r="Q105" s="244"/>
      <c r="U105" s="328"/>
    </row>
    <row r="106" spans="6:25" x14ac:dyDescent="0.25">
      <c r="F106" s="245" t="s">
        <v>702</v>
      </c>
      <c r="G106" s="239" t="s">
        <v>648</v>
      </c>
      <c r="H106" s="244">
        <f>H103*H95+H105*H94</f>
        <v>89.763573196687489</v>
      </c>
      <c r="I106" s="244">
        <f>I103*I95+I105*I94</f>
        <v>38.888074237399195</v>
      </c>
      <c r="J106" s="244">
        <f>J103*J95+J105*J94</f>
        <v>13.025283864227024</v>
      </c>
      <c r="L106" s="328">
        <f>SUM(H106:K106)</f>
        <v>141.67693129831369</v>
      </c>
      <c r="M106" s="328">
        <f>L75</f>
        <v>117.05688193235632</v>
      </c>
      <c r="N106" s="329">
        <f>L106/M106-1</f>
        <v>0.21032551832522373</v>
      </c>
      <c r="Q106" s="244"/>
    </row>
    <row r="107" spans="6:25" x14ac:dyDescent="0.25">
      <c r="F107" s="245" t="s">
        <v>703</v>
      </c>
      <c r="G107" s="308" t="s">
        <v>699</v>
      </c>
      <c r="H107" s="244">
        <f>H104*H102*H98/1000</f>
        <v>2.7637499999999999</v>
      </c>
      <c r="I107" s="244">
        <f>I104*I102*I98/1000</f>
        <v>5.7486000000000006</v>
      </c>
      <c r="J107" s="244">
        <f>J104*J102*J98/1000</f>
        <v>8.8439999999999994</v>
      </c>
      <c r="K107" s="244">
        <f>K109+K112</f>
        <v>18.211278337005723</v>
      </c>
      <c r="M107" s="244"/>
      <c r="P107" s="244"/>
    </row>
    <row r="108" spans="6:25" x14ac:dyDescent="0.25">
      <c r="F108" s="245" t="s">
        <v>704</v>
      </c>
      <c r="G108" s="239" t="s">
        <v>648</v>
      </c>
      <c r="H108" s="244">
        <f>H107*H94</f>
        <v>1.6050284662500001</v>
      </c>
      <c r="I108" s="244">
        <f>I107*I94</f>
        <v>52.797366878256</v>
      </c>
      <c r="J108" s="244">
        <f>J107*J94</f>
        <v>79.865253906810821</v>
      </c>
      <c r="L108" s="244">
        <f>SUM(H108:K108)</f>
        <v>134.26764925131681</v>
      </c>
      <c r="M108" s="244">
        <f>L80</f>
        <v>144.25372195321202</v>
      </c>
      <c r="N108" s="329">
        <f>L108/M108-1</f>
        <v>-6.9225754224450098E-2</v>
      </c>
      <c r="P108" s="244"/>
      <c r="Q108" s="244"/>
      <c r="X108" s="66"/>
      <c r="Y108" s="66"/>
    </row>
    <row r="109" spans="6:25" x14ac:dyDescent="0.25">
      <c r="F109" s="245" t="s">
        <v>705</v>
      </c>
      <c r="G109" s="239" t="s">
        <v>648</v>
      </c>
      <c r="H109" s="330">
        <f>H90*H110/(H90*$H$110+H88*$H$113)*H108*H104*(1-H91)</f>
        <v>3.1921177583210066E-2</v>
      </c>
      <c r="I109" s="330">
        <f>I90*I110/(I90*$I$110+I88*$I$113)*I108*I104*(1-I91)</f>
        <v>1.4756292388583536</v>
      </c>
      <c r="J109" s="330">
        <f>J90*J110/(J90*$J$110+J88*$J$113)*J108*J104*(1-J91)</f>
        <v>2.2899806851298328</v>
      </c>
      <c r="K109" s="244">
        <f>M109-SUM(H109:J109)</f>
        <v>2.1252601006918579</v>
      </c>
      <c r="L109" s="244">
        <f>SUM(H109:K109)</f>
        <v>5.9227912022632543</v>
      </c>
      <c r="M109" s="244">
        <f>L79</f>
        <v>5.9227912022632543</v>
      </c>
      <c r="X109" s="66"/>
      <c r="Y109" s="66"/>
    </row>
    <row r="110" spans="6:25" x14ac:dyDescent="0.25">
      <c r="F110" s="245" t="s">
        <v>706</v>
      </c>
      <c r="G110" s="239" t="s">
        <v>647</v>
      </c>
      <c r="H110" s="331">
        <v>1.1000000000000001</v>
      </c>
      <c r="I110" s="332">
        <v>1.1000000000000001</v>
      </c>
      <c r="J110" s="332">
        <v>1.1000000000000001</v>
      </c>
      <c r="K110" s="244">
        <f>SUMPRODUCT(H110:J110,H109:J109)/SUM(H109:J109)</f>
        <v>1.1000000000000003</v>
      </c>
      <c r="L110" s="270">
        <f>SUMPRODUCT(H109:K109,H110:K110)/SUM(H109:K109)</f>
        <v>1.1000000000000003</v>
      </c>
      <c r="X110" s="66"/>
      <c r="Y110" s="66"/>
    </row>
    <row r="111" spans="6:25" x14ac:dyDescent="0.25">
      <c r="F111" s="245" t="s">
        <v>707</v>
      </c>
      <c r="G111" s="239" t="s">
        <v>600</v>
      </c>
      <c r="H111" s="244">
        <f>H109/H110</f>
        <v>2.9019252348372784E-2</v>
      </c>
      <c r="I111" s="244">
        <f>I109/I110</f>
        <v>1.3414811262348669</v>
      </c>
      <c r="J111" s="244">
        <f>J109/J110</f>
        <v>2.0818006228453023</v>
      </c>
      <c r="K111" s="244">
        <f>K109/K110</f>
        <v>1.9320546369925975</v>
      </c>
      <c r="L111" s="244">
        <f>SUM(H111:K111)</f>
        <v>5.3843556384211393</v>
      </c>
      <c r="M111" s="244">
        <f>H79</f>
        <v>5.9227912022632543</v>
      </c>
      <c r="X111" s="66"/>
      <c r="Y111" s="66"/>
    </row>
    <row r="112" spans="6:25" x14ac:dyDescent="0.25">
      <c r="F112" s="245" t="s">
        <v>708</v>
      </c>
      <c r="G112" s="239" t="s">
        <v>648</v>
      </c>
      <c r="H112" s="244">
        <f>H108-H109</f>
        <v>1.5731072886667901</v>
      </c>
      <c r="I112" s="244">
        <f>I108-I109</f>
        <v>51.321737639397647</v>
      </c>
      <c r="J112" s="244">
        <f>J108-J109</f>
        <v>77.575273221680987</v>
      </c>
      <c r="K112" s="244">
        <f>K113*K114</f>
        <v>16.086018236313866</v>
      </c>
      <c r="L112" s="244">
        <f>SUM(H112:K112)</f>
        <v>146.55613638605928</v>
      </c>
      <c r="M112" s="244">
        <f>SUM(L77:L78)</f>
        <v>138.33093075094877</v>
      </c>
      <c r="N112" s="329">
        <f>L112/M112-1</f>
        <v>5.9460350555431418E-2</v>
      </c>
      <c r="X112" s="66"/>
      <c r="Y112" s="66"/>
    </row>
    <row r="113" spans="1:33" x14ac:dyDescent="0.25">
      <c r="F113" s="245" t="s">
        <v>709</v>
      </c>
      <c r="G113" s="239" t="s">
        <v>647</v>
      </c>
      <c r="H113" s="315">
        <v>1.4</v>
      </c>
      <c r="I113" s="315">
        <v>1.4</v>
      </c>
      <c r="J113" s="315">
        <v>1.4</v>
      </c>
      <c r="K113" s="331">
        <v>1.4</v>
      </c>
      <c r="L113" s="270">
        <f>SUMPRODUCT(H112:K112,H113:K113)/SUM(H112:K112)</f>
        <v>1.4</v>
      </c>
      <c r="M113" s="244">
        <f>M108/M117</f>
        <v>1.377378946495039</v>
      </c>
      <c r="X113" s="333"/>
      <c r="Y113" s="333"/>
    </row>
    <row r="114" spans="1:33" x14ac:dyDescent="0.25">
      <c r="F114" s="245" t="s">
        <v>710</v>
      </c>
      <c r="G114" s="239" t="s">
        <v>600</v>
      </c>
      <c r="H114" s="244">
        <f>H107*H94/H113</f>
        <v>1.1464489044642858</v>
      </c>
      <c r="I114" s="244">
        <f>I107*I94/I113</f>
        <v>37.712404913040004</v>
      </c>
      <c r="J114" s="244">
        <f>J107*J94/J113</f>
        <v>57.046609933436308</v>
      </c>
      <c r="K114" s="244">
        <f>K118*(K88+K90)</f>
        <v>11.490013025938476</v>
      </c>
      <c r="L114" s="244">
        <f>SUM(H114:K114)</f>
        <v>107.39547677687908</v>
      </c>
      <c r="M114" s="244">
        <f>SUM(H77:H78)</f>
        <v>98.807807679249123</v>
      </c>
      <c r="N114" s="329">
        <f>L114/M114-1</f>
        <v>8.6912859411953924E-2</v>
      </c>
    </row>
    <row r="115" spans="1:33" x14ac:dyDescent="0.25">
      <c r="F115" s="245" t="s">
        <v>711</v>
      </c>
      <c r="G115" s="239" t="s">
        <v>647</v>
      </c>
      <c r="H115" s="334">
        <f>(H113*H112+H110*H109)/(H112+H109)</f>
        <v>1.3940335305719922</v>
      </c>
      <c r="I115" s="334">
        <f>(I113*I112+I110*I109)/(I112+I109)</f>
        <v>1.3916153248195446</v>
      </c>
      <c r="J115" s="334">
        <f>(J113*J112+J110*J109)/(J112+J109)</f>
        <v>1.3913980839985738</v>
      </c>
      <c r="K115" s="334">
        <f>(K113*K112+K110*K109)/(K112+K109)</f>
        <v>1.3649899354450048</v>
      </c>
      <c r="L115" s="270">
        <f>SUMPRODUCT(H108:K108,H115:K115)/SUM(H108:K108)</f>
        <v>1.3915150124633595</v>
      </c>
      <c r="M115" s="244"/>
    </row>
    <row r="116" spans="1:33" x14ac:dyDescent="0.25">
      <c r="E116" s="245" t="s">
        <v>569</v>
      </c>
      <c r="F116" s="245" t="s">
        <v>712</v>
      </c>
      <c r="G116" s="239" t="s">
        <v>644</v>
      </c>
      <c r="H116" s="244">
        <f>H94*H93</f>
        <v>0.14518575</v>
      </c>
      <c r="I116" s="244">
        <f>I94*I93</f>
        <v>2.9431376999999999</v>
      </c>
      <c r="J116" s="244">
        <f>J94*J93</f>
        <v>3.7910756464997348</v>
      </c>
      <c r="K116" s="244">
        <f>K88+K90</f>
        <v>0.85111207599544259</v>
      </c>
      <c r="L116" s="244">
        <f>SUM(H116:K116)</f>
        <v>7.7305111724951772</v>
      </c>
      <c r="M116" s="244">
        <f>G80</f>
        <v>7.742168422495177</v>
      </c>
      <c r="N116" s="329">
        <f>L116/M116-1</f>
        <v>-1.5056828221573504E-3</v>
      </c>
    </row>
    <row r="117" spans="1:33" x14ac:dyDescent="0.25">
      <c r="F117" s="245" t="s">
        <v>713</v>
      </c>
      <c r="G117" s="239" t="str">
        <f>G114</f>
        <v>billion veh-km</v>
      </c>
      <c r="H117" s="244">
        <f>H114+H111</f>
        <v>1.1754681568126586</v>
      </c>
      <c r="I117" s="244">
        <f>I114+I111</f>
        <v>39.053886039274872</v>
      </c>
      <c r="J117" s="244">
        <f>J114+J111</f>
        <v>59.128410556281608</v>
      </c>
      <c r="K117" s="244">
        <f>K114+K111</f>
        <v>13.422067662931074</v>
      </c>
      <c r="L117" s="244">
        <f>SUM(H117:K117)</f>
        <v>112.77983241530021</v>
      </c>
      <c r="M117" s="244">
        <f>H80</f>
        <v>104.73059888151238</v>
      </c>
      <c r="N117" s="329">
        <f>L117/M117-1</f>
        <v>7.6856559780531519E-2</v>
      </c>
    </row>
    <row r="118" spans="1:33" x14ac:dyDescent="0.25">
      <c r="F118" s="245" t="s">
        <v>714</v>
      </c>
      <c r="G118" s="308" t="s">
        <v>715</v>
      </c>
      <c r="H118" s="335">
        <v>7.3852190250507794</v>
      </c>
      <c r="I118" s="335">
        <v>12.3446275646806</v>
      </c>
      <c r="J118" s="335">
        <v>13.330035321564491</v>
      </c>
      <c r="K118" s="315">
        <v>13.5</v>
      </c>
      <c r="L118" s="244">
        <f>SUMPRODUCT(H116:K116,H118:K118)/SUM(H116:K116)</f>
        <v>12.861937642028787</v>
      </c>
      <c r="M118" s="244">
        <f>I80</f>
        <v>13.527295347542877</v>
      </c>
      <c r="N118" s="329">
        <f>L118/M118-1</f>
        <v>-4.9186307271316232E-2</v>
      </c>
    </row>
    <row r="120" spans="1:33" x14ac:dyDescent="0.25">
      <c r="F120" s="245" t="s">
        <v>716</v>
      </c>
      <c r="H120" s="66">
        <f>H118*1000*H115*H87/H102/H98</f>
        <v>0.23281870084891415</v>
      </c>
      <c r="I120" s="66">
        <f>I118*1000*I115*I87/I102/I98</f>
        <v>0.4661865101275251</v>
      </c>
      <c r="J120" s="66">
        <f>J118*1000*J115*J87/J102/J98</f>
        <v>0.67175235407374456</v>
      </c>
      <c r="M120" s="245" t="s">
        <v>717</v>
      </c>
      <c r="N120" s="336">
        <f>ABS(N118)+ABS(N117)+ABS(N116)+ABS(N108)+ABS(N106)</f>
        <v>0.40709982242367893</v>
      </c>
    </row>
    <row r="122" spans="1:33" x14ac:dyDescent="0.25">
      <c r="H122" s="244">
        <f>H104*H98*H102/H115/H87/1000</f>
        <v>7.9302253192317211</v>
      </c>
      <c r="I122" s="244">
        <f>I104*I98*I102/I115/I87/1000</f>
        <v>13.769609789605328</v>
      </c>
      <c r="J122" s="244">
        <f>J104*J98*J102/J115/J87/1000</f>
        <v>15.874939912872867</v>
      </c>
    </row>
    <row r="123" spans="1:33" x14ac:dyDescent="0.25">
      <c r="H123" s="244"/>
      <c r="I123" s="244"/>
      <c r="J123" s="244"/>
    </row>
    <row r="125" spans="1:33" s="244" customFormat="1" x14ac:dyDescent="0.25">
      <c r="A125" s="244" t="s">
        <v>718</v>
      </c>
    </row>
    <row r="126" spans="1:33" s="244" customFormat="1" x14ac:dyDescent="0.25">
      <c r="A126" s="244" t="s">
        <v>719</v>
      </c>
    </row>
    <row r="127" spans="1:33" s="244" customFormat="1" x14ac:dyDescent="0.25">
      <c r="A127" s="244" t="s">
        <v>251</v>
      </c>
      <c r="G127" s="244" t="s">
        <v>720</v>
      </c>
      <c r="H127" s="244" t="s">
        <v>721</v>
      </c>
      <c r="I127" s="244" t="s">
        <v>722</v>
      </c>
      <c r="J127" s="244" t="s">
        <v>723</v>
      </c>
      <c r="K127" s="244" t="s">
        <v>724</v>
      </c>
      <c r="O127" s="244" t="s">
        <v>725</v>
      </c>
      <c r="P127" s="244" t="s">
        <v>726</v>
      </c>
      <c r="R127" s="244" t="s">
        <v>627</v>
      </c>
      <c r="S127" s="244" t="s">
        <v>727</v>
      </c>
      <c r="T127" s="244" t="s">
        <v>728</v>
      </c>
      <c r="U127" s="244" t="s">
        <v>729</v>
      </c>
      <c r="V127" s="244" t="s">
        <v>730</v>
      </c>
      <c r="Y127" s="244" t="s">
        <v>731</v>
      </c>
      <c r="Z127" s="244" t="s">
        <v>176</v>
      </c>
      <c r="AA127" s="244" t="s">
        <v>732</v>
      </c>
      <c r="AB127" s="244" t="s">
        <v>733</v>
      </c>
      <c r="AC127" s="244" t="s">
        <v>734</v>
      </c>
      <c r="AD127" s="244" t="s">
        <v>735</v>
      </c>
      <c r="AE127" s="244" t="s">
        <v>590</v>
      </c>
      <c r="AF127" s="244" t="s">
        <v>591</v>
      </c>
      <c r="AG127" s="244" t="s">
        <v>736</v>
      </c>
    </row>
    <row r="128" spans="1:33" s="244" customFormat="1" x14ac:dyDescent="0.25">
      <c r="A128" s="244" t="s">
        <v>254</v>
      </c>
      <c r="B128" s="244" t="s">
        <v>737</v>
      </c>
      <c r="C128" s="244">
        <v>0.5</v>
      </c>
      <c r="D128" s="244">
        <v>0.5</v>
      </c>
      <c r="E128" s="244" t="s">
        <v>254</v>
      </c>
      <c r="F128" s="244">
        <v>3.9</v>
      </c>
      <c r="G128" s="244">
        <v>3.0355667278025416</v>
      </c>
      <c r="H128" s="244">
        <v>1.0970547891095882E-12</v>
      </c>
      <c r="I128" s="244">
        <v>1.0010789300259582</v>
      </c>
      <c r="J128" s="244">
        <v>-1.078930025958158E-3</v>
      </c>
      <c r="K128" s="244">
        <v>3.0388418918909661</v>
      </c>
      <c r="M128" s="244">
        <v>9.8300000672679744E-7</v>
      </c>
      <c r="O128" s="244">
        <v>7713310764.2773094</v>
      </c>
      <c r="P128" s="244">
        <v>2.5289067174718047E-2</v>
      </c>
      <c r="R128" s="244">
        <v>3.6539588609193346E-2</v>
      </c>
      <c r="S128" s="244">
        <v>0.92634177296793452</v>
      </c>
      <c r="T128" s="244">
        <v>3.7118638422872108E-2</v>
      </c>
      <c r="U128" s="244">
        <v>0</v>
      </c>
      <c r="V128" s="244">
        <v>0</v>
      </c>
      <c r="W128" s="244" t="s">
        <v>254</v>
      </c>
      <c r="X128" s="244" t="s">
        <v>737</v>
      </c>
      <c r="Y128" s="244">
        <v>733768162.56169963</v>
      </c>
      <c r="Z128" s="244">
        <v>26861487672.511841</v>
      </c>
      <c r="AA128" s="244">
        <v>95.130117920310354</v>
      </c>
      <c r="AB128" s="244">
        <v>3.4824848231080705</v>
      </c>
      <c r="AC128" s="244">
        <v>13.4912030561942</v>
      </c>
      <c r="AD128" s="244">
        <v>13.4912030561942</v>
      </c>
      <c r="AE128" s="244">
        <v>95.130117920310354</v>
      </c>
      <c r="AF128" s="244">
        <v>3.4824848231080705</v>
      </c>
      <c r="AG128" s="244">
        <v>733768162.56169963</v>
      </c>
    </row>
    <row r="129" spans="1:36" s="244" customFormat="1" x14ac:dyDescent="0.25">
      <c r="A129" s="244" t="s">
        <v>625</v>
      </c>
      <c r="B129" s="244" t="s">
        <v>737</v>
      </c>
      <c r="C129" s="244">
        <v>0.5</v>
      </c>
      <c r="D129" s="244">
        <v>0.5</v>
      </c>
      <c r="E129" s="244" t="s">
        <v>625</v>
      </c>
      <c r="F129" s="244">
        <v>3.9</v>
      </c>
      <c r="G129" s="244">
        <v>3.002352845392886</v>
      </c>
      <c r="H129" s="244">
        <v>0</v>
      </c>
      <c r="I129" s="244">
        <v>1.0000123376539252</v>
      </c>
      <c r="J129" s="244">
        <v>-1.2337653925165171E-5</v>
      </c>
      <c r="K129" s="244">
        <v>3.002389887383254</v>
      </c>
      <c r="O129" s="244">
        <v>74472877.127863243</v>
      </c>
      <c r="P129" s="244">
        <v>2.4416876876054601E-4</v>
      </c>
      <c r="R129" s="244">
        <v>7.7069747919213782E-2</v>
      </c>
      <c r="S129" s="244">
        <v>0.87124041416829812</v>
      </c>
      <c r="T129" s="244">
        <v>5.1689837912488157E-2</v>
      </c>
      <c r="U129" s="244">
        <v>0</v>
      </c>
      <c r="V129" s="244">
        <v>0</v>
      </c>
      <c r="W129" s="244" t="s">
        <v>625</v>
      </c>
      <c r="X129" s="244" t="s">
        <v>737</v>
      </c>
      <c r="Y129" s="244">
        <v>9399429.0356118884</v>
      </c>
      <c r="Z129" s="244">
        <v>321460473.01792663</v>
      </c>
      <c r="AA129" s="244">
        <v>126.21278239960989</v>
      </c>
      <c r="AB129" s="244">
        <v>4.3164771580666592</v>
      </c>
      <c r="AC129" s="244">
        <v>0</v>
      </c>
      <c r="AD129" s="244">
        <v>0</v>
      </c>
      <c r="AE129" s="244" t="e">
        <v>#DIV/0!</v>
      </c>
      <c r="AF129" s="244" t="e">
        <v>#DIV/0!</v>
      </c>
    </row>
    <row r="130" spans="1:36" s="244" customFormat="1" x14ac:dyDescent="0.25">
      <c r="A130" s="244" t="s">
        <v>260</v>
      </c>
      <c r="B130" s="244" t="s">
        <v>738</v>
      </c>
      <c r="C130" s="244">
        <v>0.5</v>
      </c>
      <c r="D130" s="244">
        <v>0.5</v>
      </c>
      <c r="E130" s="244" t="s">
        <v>260</v>
      </c>
      <c r="F130" s="244">
        <v>5.8</v>
      </c>
      <c r="G130" s="244">
        <v>5.0019131600143121</v>
      </c>
      <c r="H130" s="244">
        <v>8.0604572645448002E-14</v>
      </c>
      <c r="I130" s="244">
        <v>1.0003681377108975</v>
      </c>
      <c r="J130" s="244">
        <v>-3.6813771089749814E-4</v>
      </c>
      <c r="K130" s="244">
        <v>5.0037545528751481</v>
      </c>
      <c r="O130" s="244">
        <v>2335309103.054091</v>
      </c>
      <c r="P130" s="244">
        <v>7.6566069468353409E-3</v>
      </c>
      <c r="R130" s="244">
        <v>0.10111251877856173</v>
      </c>
      <c r="S130" s="244">
        <v>0.54179557226913244</v>
      </c>
      <c r="T130" s="244">
        <v>0.3570919089523058</v>
      </c>
      <c r="U130" s="244">
        <v>0</v>
      </c>
      <c r="V130" s="244">
        <v>0</v>
      </c>
      <c r="W130" s="244" t="s">
        <v>260</v>
      </c>
      <c r="X130" s="244" t="s">
        <v>738</v>
      </c>
      <c r="Y130" s="244">
        <v>209028493.24255449</v>
      </c>
      <c r="Z130" s="244">
        <v>7652030410.8540201</v>
      </c>
      <c r="AA130" s="244">
        <v>89.507848433935095</v>
      </c>
      <c r="AB130" s="244">
        <v>3.2766670591258267</v>
      </c>
      <c r="AC130" s="244">
        <v>21.158865224822598</v>
      </c>
      <c r="AD130" s="244">
        <v>22</v>
      </c>
      <c r="AE130" s="244">
        <v>93.066081031435942</v>
      </c>
      <c r="AF130" s="244">
        <v>3.4069253967457311</v>
      </c>
      <c r="AG130" s="244">
        <v>217338066.21828201</v>
      </c>
    </row>
    <row r="131" spans="1:36" s="244" customFormat="1" x14ac:dyDescent="0.25">
      <c r="A131" s="244" t="s">
        <v>262</v>
      </c>
      <c r="B131" s="244" t="s">
        <v>739</v>
      </c>
      <c r="C131" s="244">
        <v>0.65</v>
      </c>
      <c r="D131" s="244">
        <v>0.65</v>
      </c>
      <c r="E131" s="244" t="s">
        <v>262</v>
      </c>
      <c r="F131" s="244">
        <v>8</v>
      </c>
      <c r="G131" s="244">
        <v>7.0174047722484039</v>
      </c>
      <c r="H131" s="244">
        <v>15.95075286596904</v>
      </c>
      <c r="I131" s="244">
        <v>0.70150717177028066</v>
      </c>
      <c r="J131" s="244">
        <v>0.29849282822971934</v>
      </c>
      <c r="K131" s="244">
        <v>9.6839451103036485</v>
      </c>
      <c r="O131" s="244">
        <v>23945303971.656704</v>
      </c>
      <c r="P131" s="244">
        <v>7.8507714671989637E-2</v>
      </c>
      <c r="R131" s="244">
        <v>0.23507814969713323</v>
      </c>
      <c r="S131" s="244">
        <v>0.40568070742989493</v>
      </c>
      <c r="T131" s="244">
        <v>0.35924114287297182</v>
      </c>
      <c r="U131" s="244">
        <v>0</v>
      </c>
      <c r="V131" s="244">
        <v>0</v>
      </c>
      <c r="W131" s="244" t="s">
        <v>262</v>
      </c>
      <c r="X131" s="244" t="s">
        <v>739</v>
      </c>
      <c r="Y131" s="244">
        <v>875732183.43294716</v>
      </c>
      <c r="Z131" s="244">
        <v>32058449044.152954</v>
      </c>
      <c r="AA131" s="244">
        <v>36.572189038381957</v>
      </c>
      <c r="AB131" s="244">
        <v>1.3388198822658306</v>
      </c>
      <c r="AC131" s="244">
        <v>21.547101283993701</v>
      </c>
      <c r="AD131" s="244">
        <v>24</v>
      </c>
      <c r="AE131" s="244">
        <v>40.735527501009706</v>
      </c>
      <c r="AF131" s="244">
        <v>1.4912296902901276</v>
      </c>
      <c r="AG131" s="244">
        <v>975424588.45745862</v>
      </c>
    </row>
    <row r="132" spans="1:36" s="244" customFormat="1" x14ac:dyDescent="0.25">
      <c r="A132" s="244" t="s">
        <v>264</v>
      </c>
      <c r="B132" s="244" t="s">
        <v>740</v>
      </c>
      <c r="C132" s="244">
        <v>0.65</v>
      </c>
      <c r="D132" s="244">
        <v>0.75</v>
      </c>
      <c r="E132" s="244" t="s">
        <v>264</v>
      </c>
      <c r="F132" s="244">
        <v>12</v>
      </c>
      <c r="G132" s="244">
        <v>10.006540085902015</v>
      </c>
      <c r="H132" s="244">
        <v>20.552287996347783</v>
      </c>
      <c r="I132" s="244">
        <v>0.60028504722663822</v>
      </c>
      <c r="J132" s="244">
        <v>0.39971495277336178</v>
      </c>
      <c r="K132" s="244">
        <v>14.221833213885624</v>
      </c>
      <c r="O132" s="244">
        <v>8743636259.6859264</v>
      </c>
      <c r="P132" s="244">
        <v>2.8667119928133134E-2</v>
      </c>
      <c r="R132" s="244">
        <v>0.3809637338275485</v>
      </c>
      <c r="S132" s="244">
        <v>0.25008551731022072</v>
      </c>
      <c r="T132" s="244">
        <v>0.36895074886223078</v>
      </c>
      <c r="U132" s="244">
        <v>0</v>
      </c>
      <c r="V132" s="244">
        <v>0</v>
      </c>
      <c r="W132" s="244" t="s">
        <v>264</v>
      </c>
      <c r="X132" s="244" t="s">
        <v>740</v>
      </c>
      <c r="Y132" s="244">
        <v>218599201.17466688</v>
      </c>
      <c r="Z132" s="244">
        <v>8002391010.0903378</v>
      </c>
      <c r="AA132" s="244">
        <v>25.000948653657627</v>
      </c>
      <c r="AB132" s="244">
        <v>0.91522460134655526</v>
      </c>
      <c r="AC132" s="244">
        <v>24.847107786947699</v>
      </c>
      <c r="AD132" s="244">
        <v>28</v>
      </c>
      <c r="AE132" s="244">
        <v>28.173361998700738</v>
      </c>
      <c r="AF132" s="244">
        <v>1.0313590240537032</v>
      </c>
      <c r="AG132" s="244">
        <v>246337629.52909735</v>
      </c>
    </row>
    <row r="133" spans="1:36" s="244" customFormat="1" x14ac:dyDescent="0.25">
      <c r="A133" s="244" t="s">
        <v>266</v>
      </c>
      <c r="B133" s="244" t="s">
        <v>741</v>
      </c>
      <c r="C133" s="244">
        <v>0.5</v>
      </c>
      <c r="D133" s="244">
        <v>0.85</v>
      </c>
      <c r="E133" s="244" t="s">
        <v>266</v>
      </c>
      <c r="F133" s="244">
        <v>15</v>
      </c>
      <c r="G133" s="244">
        <v>11.503669238344788</v>
      </c>
      <c r="H133" s="244">
        <v>25.125261412200746</v>
      </c>
      <c r="I133" s="244">
        <v>0.4999770054245255</v>
      </c>
      <c r="J133" s="244">
        <v>0.5000229945754745</v>
      </c>
      <c r="K133" s="244">
        <v>18.314778548002092</v>
      </c>
      <c r="O133" s="244">
        <v>5886442359.1734123</v>
      </c>
      <c r="P133" s="244">
        <v>1.9299447512301775E-2</v>
      </c>
      <c r="R133" s="244">
        <v>0.53440078795287138</v>
      </c>
      <c r="S133" s="244">
        <v>8.9731478415269503E-2</v>
      </c>
      <c r="T133" s="244">
        <v>0.3758677336318591</v>
      </c>
      <c r="U133" s="244">
        <v>0</v>
      </c>
      <c r="V133" s="244">
        <v>0</v>
      </c>
      <c r="W133" s="244" t="s">
        <v>266</v>
      </c>
      <c r="X133" s="244" t="s">
        <v>741</v>
      </c>
      <c r="Y133" s="244">
        <v>125733116.74456032</v>
      </c>
      <c r="Z133" s="244">
        <v>4602787007.9147911</v>
      </c>
      <c r="AA133" s="244">
        <v>21.359780504538236</v>
      </c>
      <c r="AB133" s="244">
        <v>0.78193019264714669</v>
      </c>
      <c r="AC133" s="244">
        <v>31.2530027632701</v>
      </c>
      <c r="AD133" s="244">
        <v>35</v>
      </c>
      <c r="AE133" s="244">
        <v>23.920655666963356</v>
      </c>
      <c r="AF133" s="244">
        <v>0.875677673276684</v>
      </c>
      <c r="AG133" s="244">
        <v>140807560.77721462</v>
      </c>
    </row>
    <row r="134" spans="1:36" s="244" customFormat="1" x14ac:dyDescent="0.25">
      <c r="A134" s="244" t="s">
        <v>268</v>
      </c>
      <c r="B134" s="244" t="s">
        <v>742</v>
      </c>
      <c r="C134" s="244">
        <v>0.5</v>
      </c>
      <c r="D134" s="244">
        <v>0.87</v>
      </c>
      <c r="E134" s="244" t="s">
        <v>268</v>
      </c>
      <c r="F134" s="244">
        <v>20</v>
      </c>
      <c r="G134" s="244">
        <v>14.029036043839092</v>
      </c>
      <c r="H134" s="244">
        <v>30.60200876854233</v>
      </c>
      <c r="I134" s="244">
        <v>0.10016845721213673</v>
      </c>
      <c r="J134" s="244">
        <v>0.89983154278786326</v>
      </c>
      <c r="K134" s="244">
        <v>28.941919659289987</v>
      </c>
      <c r="L134" s="244" t="s">
        <v>743</v>
      </c>
      <c r="O134" s="244">
        <v>174004920276.4483</v>
      </c>
      <c r="P134" s="244">
        <v>0.57049719012777944</v>
      </c>
      <c r="R134" s="244">
        <v>0.5301751871753293</v>
      </c>
      <c r="S134" s="244">
        <v>0.14644761128723258</v>
      </c>
      <c r="T134" s="244">
        <v>0.3233772015374381</v>
      </c>
      <c r="U134" s="244">
        <v>0</v>
      </c>
      <c r="V134" s="244">
        <v>0</v>
      </c>
      <c r="W134" s="244" t="s">
        <v>268</v>
      </c>
      <c r="X134" s="244" t="s">
        <v>742</v>
      </c>
      <c r="Y134" s="244">
        <v>2185043746.8526764</v>
      </c>
      <c r="Z134" s="244">
        <v>79989196403.771408</v>
      </c>
      <c r="AA134" s="244">
        <v>12.557367592716421</v>
      </c>
      <c r="AB134" s="244">
        <v>0.45969502630551767</v>
      </c>
      <c r="AC134" s="244">
        <v>30.088294585756898</v>
      </c>
      <c r="AD134" s="244">
        <v>43.5</v>
      </c>
      <c r="AE134" s="244">
        <v>18.154750802717288</v>
      </c>
      <c r="AF134" s="244">
        <v>0.66460176356276468</v>
      </c>
      <c r="AG134" s="244">
        <v>3159015966.0656075</v>
      </c>
    </row>
    <row r="135" spans="1:36" s="244" customFormat="1" x14ac:dyDescent="0.25">
      <c r="A135" s="244" t="s">
        <v>271</v>
      </c>
      <c r="B135" s="244" t="s">
        <v>744</v>
      </c>
      <c r="C135" s="244">
        <v>0.75</v>
      </c>
      <c r="D135" s="244">
        <v>0.85</v>
      </c>
      <c r="E135" s="244" t="s">
        <v>271</v>
      </c>
      <c r="F135" s="244">
        <v>24</v>
      </c>
      <c r="G135" s="244">
        <v>19.086920079295641</v>
      </c>
      <c r="H135" s="244">
        <v>35.081846919456602</v>
      </c>
      <c r="I135" s="244">
        <v>0.50202739157045151</v>
      </c>
      <c r="J135" s="244">
        <v>0.49797260842954849</v>
      </c>
      <c r="K135" s="244">
        <v>27.051955519530388</v>
      </c>
      <c r="O135" s="244">
        <v>50867653124.971497</v>
      </c>
      <c r="P135" s="244">
        <v>0.16677604937886722</v>
      </c>
      <c r="R135" s="244">
        <v>0.55008264791311168</v>
      </c>
      <c r="S135" s="244">
        <v>0.18563305475193087</v>
      </c>
      <c r="T135" s="244">
        <v>0.26428429733495751</v>
      </c>
      <c r="U135" s="244">
        <v>0</v>
      </c>
      <c r="V135" s="244">
        <v>0</v>
      </c>
      <c r="W135" s="244" t="s">
        <v>271</v>
      </c>
      <c r="X135" s="244" t="s">
        <v>744</v>
      </c>
      <c r="Y135" s="244">
        <v>827313667.90893757</v>
      </c>
      <c r="Z135" s="244">
        <v>30285963640.413261</v>
      </c>
      <c r="AA135" s="244">
        <v>16.26404241368077</v>
      </c>
      <c r="AB135" s="244">
        <v>0.59538747671347836</v>
      </c>
      <c r="AC135" s="244">
        <v>35.620658428944502</v>
      </c>
      <c r="AD135" s="244">
        <v>45</v>
      </c>
      <c r="AE135" s="244">
        <v>20.546557556637548</v>
      </c>
      <c r="AF135" s="244">
        <v>0.75216005637716199</v>
      </c>
      <c r="AG135" s="244">
        <v>1045155162.7033007</v>
      </c>
    </row>
    <row r="136" spans="1:36" s="244" customFormat="1" x14ac:dyDescent="0.25">
      <c r="A136" s="244" t="s">
        <v>273</v>
      </c>
      <c r="B136" s="244" t="s">
        <v>745</v>
      </c>
      <c r="C136" s="244">
        <v>0.75</v>
      </c>
      <c r="D136" s="244">
        <v>0.85</v>
      </c>
      <c r="E136" s="244" t="s">
        <v>273</v>
      </c>
      <c r="F136" s="244">
        <v>30</v>
      </c>
      <c r="G136" s="244">
        <v>24.005748362009641</v>
      </c>
      <c r="H136" s="244">
        <v>35.001963623009949</v>
      </c>
      <c r="I136" s="244">
        <v>0.84990404392301788</v>
      </c>
      <c r="J136" s="244">
        <v>0.15009595607698212</v>
      </c>
      <c r="K136" s="244">
        <v>25.656235804837785</v>
      </c>
      <c r="O136" s="244">
        <v>1792667595.4558625</v>
      </c>
      <c r="P136" s="244">
        <v>5.8774879722703864E-3</v>
      </c>
      <c r="R136" s="244">
        <v>0.55000262944748535</v>
      </c>
      <c r="S136" s="244">
        <v>0.14787085381730897</v>
      </c>
      <c r="T136" s="244">
        <v>0.30212651673520563</v>
      </c>
      <c r="U136" s="244">
        <v>0</v>
      </c>
      <c r="V136" s="244">
        <v>0</v>
      </c>
      <c r="W136" s="244" t="s">
        <v>273</v>
      </c>
      <c r="X136" s="244" t="s">
        <v>745</v>
      </c>
      <c r="Y136" s="244">
        <v>34046994.752085246</v>
      </c>
      <c r="Z136" s="244">
        <v>1246378592.6965892</v>
      </c>
      <c r="AA136" s="244">
        <v>18.992363580615365</v>
      </c>
      <c r="AB136" s="244">
        <v>0.69526475284986899</v>
      </c>
      <c r="AC136" s="244">
        <v>40.182432124204396</v>
      </c>
      <c r="AD136" s="244">
        <v>47</v>
      </c>
      <c r="AE136" s="244">
        <v>22.214710287564412</v>
      </c>
      <c r="AF136" s="244">
        <v>0.81322711584349738</v>
      </c>
      <c r="AG136" s="244">
        <v>39823591.274956711</v>
      </c>
    </row>
    <row r="137" spans="1:36" s="244" customFormat="1" x14ac:dyDescent="0.25">
      <c r="A137" s="244" t="s">
        <v>275</v>
      </c>
      <c r="B137" s="244" t="s">
        <v>746</v>
      </c>
      <c r="C137" s="244">
        <v>0.75</v>
      </c>
      <c r="D137" s="244">
        <v>0.85</v>
      </c>
      <c r="E137" s="244" t="s">
        <v>275</v>
      </c>
      <c r="F137" s="244">
        <v>30</v>
      </c>
      <c r="G137" s="244">
        <v>30.006560720965478</v>
      </c>
      <c r="H137" s="244">
        <v>34.99995727897744</v>
      </c>
      <c r="I137" s="244">
        <v>0.99995774095555046</v>
      </c>
      <c r="J137" s="244">
        <v>4.2259044449544092E-5</v>
      </c>
      <c r="K137" s="244">
        <v>30.006771737132578</v>
      </c>
      <c r="O137" s="244">
        <v>1313297925.0172372</v>
      </c>
      <c r="P137" s="244">
        <v>4.3058137369485997E-3</v>
      </c>
      <c r="R137" s="244">
        <v>0.55000214258171842</v>
      </c>
      <c r="S137" s="244">
        <v>0.16858579107982288</v>
      </c>
      <c r="T137" s="244">
        <v>0.28141206633845872</v>
      </c>
      <c r="U137" s="244">
        <v>0</v>
      </c>
      <c r="V137" s="244">
        <v>0</v>
      </c>
      <c r="W137" s="244" t="s">
        <v>275</v>
      </c>
      <c r="X137" s="244" t="s">
        <v>746</v>
      </c>
      <c r="Y137" s="244">
        <v>26510943.980000682</v>
      </c>
      <c r="Z137" s="244">
        <v>970501898.60964537</v>
      </c>
      <c r="AA137" s="244">
        <v>20.186542196548984</v>
      </c>
      <c r="AB137" s="244">
        <v>0.73898075990404644</v>
      </c>
      <c r="AC137" s="244">
        <v>48.529507396382201</v>
      </c>
      <c r="AD137" s="244">
        <v>48</v>
      </c>
      <c r="AE137" s="244">
        <v>19.966286027180761</v>
      </c>
      <c r="AF137" s="244">
        <v>0.73091771127350336</v>
      </c>
      <c r="AG137" s="244">
        <v>26221682.009797148</v>
      </c>
    </row>
    <row r="138" spans="1:36" s="244" customFormat="1" x14ac:dyDescent="0.25">
      <c r="A138" s="244" t="s">
        <v>277</v>
      </c>
      <c r="C138" s="244">
        <v>0.75</v>
      </c>
      <c r="D138" s="244">
        <v>0.5</v>
      </c>
      <c r="E138" s="244" t="s">
        <v>277</v>
      </c>
      <c r="F138" s="244">
        <v>1</v>
      </c>
      <c r="G138" s="244">
        <v>0.99675711372231002</v>
      </c>
      <c r="H138" s="244">
        <v>0</v>
      </c>
      <c r="I138" s="244">
        <v>0.99700317936703742</v>
      </c>
      <c r="J138" s="244">
        <v>2.9968206329625824E-3</v>
      </c>
      <c r="K138" s="244">
        <v>0.99377001143785482</v>
      </c>
      <c r="O138" s="244">
        <v>15529599906.641813</v>
      </c>
      <c r="P138" s="244">
        <v>5.0915762016799322E-2</v>
      </c>
      <c r="R138" s="244">
        <v>0.55001852424691988</v>
      </c>
      <c r="S138" s="244">
        <v>0.17530343258222261</v>
      </c>
      <c r="T138" s="244">
        <v>0.27467804317085753</v>
      </c>
      <c r="U138" s="244">
        <v>0</v>
      </c>
      <c r="V138" s="244">
        <v>0</v>
      </c>
      <c r="W138" s="244" t="s">
        <v>277</v>
      </c>
      <c r="Y138" s="244">
        <v>3737765911.2449355</v>
      </c>
      <c r="Z138" s="244">
        <v>136830620447.09309</v>
      </c>
      <c r="AA138" s="244">
        <v>240.68655559157969</v>
      </c>
      <c r="AB138" s="244">
        <v>8.8109559338082093</v>
      </c>
      <c r="AC138" s="244">
        <v>11.1617867011679</v>
      </c>
      <c r="AD138" s="244">
        <v>11.1617867011679</v>
      </c>
      <c r="AE138" s="244">
        <v>240.68655559157969</v>
      </c>
      <c r="AF138" s="244">
        <v>8.8109559338082093</v>
      </c>
      <c r="AG138" s="244">
        <v>3737765911.2449355</v>
      </c>
    </row>
    <row r="139" spans="1:36" s="244" customFormat="1" x14ac:dyDescent="0.25">
      <c r="A139" s="244" t="s">
        <v>278</v>
      </c>
      <c r="C139" s="244">
        <v>0.75</v>
      </c>
      <c r="D139" s="244">
        <v>0.5</v>
      </c>
      <c r="E139" s="244" t="s">
        <v>278</v>
      </c>
      <c r="F139" s="244">
        <v>1</v>
      </c>
      <c r="G139" s="244">
        <v>0.99740834509187259</v>
      </c>
      <c r="H139" s="244">
        <v>8.6338799980859581E-12</v>
      </c>
      <c r="I139" s="244">
        <v>1.0016124871293839</v>
      </c>
      <c r="J139" s="244">
        <v>-1.6124871293838883E-3</v>
      </c>
      <c r="K139" s="244">
        <v>0.99901665321105948</v>
      </c>
      <c r="O139" s="244">
        <v>12793384853.490023</v>
      </c>
      <c r="P139" s="244">
        <v>4.1944734088805079E-2</v>
      </c>
      <c r="R139" s="244">
        <v>0.55001538296421815</v>
      </c>
      <c r="S139" s="244">
        <v>0.17266249151824548</v>
      </c>
      <c r="T139" s="244">
        <v>0.27732212551753643</v>
      </c>
      <c r="U139" s="244">
        <v>0</v>
      </c>
      <c r="V139" s="244">
        <v>0</v>
      </c>
      <c r="W139" s="244" t="s">
        <v>278</v>
      </c>
      <c r="Y139" s="244">
        <v>3770117359.2663445</v>
      </c>
      <c r="Z139" s="244">
        <v>128938013686.909</v>
      </c>
      <c r="AA139" s="244">
        <v>294.69271834168734</v>
      </c>
      <c r="AB139" s="244">
        <v>10.07849096728571</v>
      </c>
      <c r="AC139" s="244">
        <v>0</v>
      </c>
      <c r="AD139" s="244">
        <v>0</v>
      </c>
      <c r="AE139" s="244" t="e">
        <v>#DIV/0!</v>
      </c>
      <c r="AF139" s="244" t="e">
        <v>#DIV/0!</v>
      </c>
    </row>
    <row r="140" spans="1:36" s="244" customFormat="1" x14ac:dyDescent="0.25">
      <c r="A140" s="244" t="s">
        <v>280</v>
      </c>
      <c r="C140" s="244">
        <v>14</v>
      </c>
      <c r="E140" s="244" t="s">
        <v>280</v>
      </c>
      <c r="F140" s="244">
        <v>0</v>
      </c>
    </row>
    <row r="141" spans="1:36" s="244" customFormat="1" x14ac:dyDescent="0.25">
      <c r="A141" s="244" t="s">
        <v>281</v>
      </c>
      <c r="C141" s="244">
        <v>14</v>
      </c>
      <c r="E141" s="244" t="s">
        <v>281</v>
      </c>
      <c r="F141" s="244">
        <v>0</v>
      </c>
      <c r="N141" s="244" t="s">
        <v>747</v>
      </c>
      <c r="O141" s="244">
        <v>304.99999901699999</v>
      </c>
      <c r="R141" s="244">
        <v>153000234184.58224</v>
      </c>
      <c r="S141" s="244">
        <v>60000050609.986427</v>
      </c>
      <c r="T141" s="244">
        <v>92005459821.762955</v>
      </c>
      <c r="Z141" s="244">
        <v>457759280288.03491</v>
      </c>
      <c r="AB141" s="244">
        <v>1.5008501041421987</v>
      </c>
      <c r="AF141" s="244" t="s">
        <v>748</v>
      </c>
      <c r="AG141" s="244">
        <v>10321658320.84235</v>
      </c>
      <c r="AH141" s="244">
        <v>0.85012922894804366</v>
      </c>
    </row>
    <row r="142" spans="1:36" s="244" customFormat="1" x14ac:dyDescent="0.25">
      <c r="A142" s="244" t="s">
        <v>284</v>
      </c>
      <c r="C142" s="244">
        <v>1.4</v>
      </c>
      <c r="E142" s="244" t="s">
        <v>284</v>
      </c>
      <c r="F142" s="244">
        <v>0</v>
      </c>
      <c r="N142" s="244" t="s">
        <v>749</v>
      </c>
      <c r="O142" s="244">
        <v>305</v>
      </c>
      <c r="R142" s="244">
        <v>153000000000</v>
      </c>
      <c r="S142" s="244">
        <v>60000000000</v>
      </c>
      <c r="T142" s="244">
        <v>92000000000</v>
      </c>
      <c r="U142" s="244">
        <v>5.7446163316268919</v>
      </c>
      <c r="AF142" s="244" t="s">
        <v>750</v>
      </c>
      <c r="AG142" s="244">
        <v>12141281548</v>
      </c>
    </row>
    <row r="143" spans="1:36" s="244" customFormat="1" x14ac:dyDescent="0.25">
      <c r="A143" s="244" t="s">
        <v>285</v>
      </c>
      <c r="C143" s="244">
        <v>1.4</v>
      </c>
      <c r="E143" s="244" t="s">
        <v>285</v>
      </c>
      <c r="F143" s="244">
        <v>0</v>
      </c>
      <c r="N143" s="244" t="s">
        <v>606</v>
      </c>
      <c r="O143" s="244">
        <v>9.8300000672679744E-7</v>
      </c>
      <c r="R143" s="244">
        <v>2.3418458224487305E-4</v>
      </c>
      <c r="S143" s="244">
        <v>5.0609986427307129E-5</v>
      </c>
      <c r="T143" s="244">
        <v>5.4598217629547117E-3</v>
      </c>
      <c r="U143" s="244">
        <v>5.7455993316336187E-3</v>
      </c>
      <c r="AF143" s="244" t="s">
        <v>751</v>
      </c>
      <c r="AG143" s="244">
        <v>12141281548</v>
      </c>
    </row>
    <row r="144" spans="1:36" s="244" customFormat="1" x14ac:dyDescent="0.25">
      <c r="A144" s="244" t="s">
        <v>286</v>
      </c>
      <c r="C144" s="244">
        <v>1.4</v>
      </c>
      <c r="E144" s="244" t="s">
        <v>286</v>
      </c>
      <c r="F144" s="244">
        <v>0</v>
      </c>
      <c r="U144" s="244" t="s">
        <v>717</v>
      </c>
      <c r="AF144" s="244" t="s">
        <v>752</v>
      </c>
      <c r="AG144" s="244">
        <v>1002973097.9988334</v>
      </c>
      <c r="AH144" s="244">
        <v>8.2608503396748134E-2</v>
      </c>
      <c r="AI144" s="244">
        <v>36716.432903957299</v>
      </c>
      <c r="AJ144" s="244" t="s">
        <v>177</v>
      </c>
    </row>
    <row r="148" spans="1:21" x14ac:dyDescent="0.25">
      <c r="A148" s="239" t="s">
        <v>718</v>
      </c>
    </row>
    <row r="149" spans="1:21" x14ac:dyDescent="0.25">
      <c r="A149" s="239" t="s">
        <v>753</v>
      </c>
    </row>
    <row r="151" spans="1:21" x14ac:dyDescent="0.25">
      <c r="A151" s="239" t="s">
        <v>754</v>
      </c>
    </row>
    <row r="153" spans="1:21" x14ac:dyDescent="0.25">
      <c r="A153" s="239" t="s">
        <v>755</v>
      </c>
      <c r="C153" s="239" t="s">
        <v>756</v>
      </c>
      <c r="M153" s="239" t="s">
        <v>757</v>
      </c>
      <c r="Q153" s="239" t="s">
        <v>758</v>
      </c>
    </row>
    <row r="154" spans="1:21" s="244" customFormat="1" x14ac:dyDescent="0.25">
      <c r="A154" s="244" t="s">
        <v>759</v>
      </c>
      <c r="B154" s="244" t="s">
        <v>760</v>
      </c>
      <c r="C154" s="244" t="s">
        <v>761</v>
      </c>
      <c r="D154" s="244" t="s">
        <v>762</v>
      </c>
      <c r="E154" s="244" t="s">
        <v>763</v>
      </c>
      <c r="F154" s="244" t="s">
        <v>764</v>
      </c>
      <c r="G154" s="244" t="s">
        <v>765</v>
      </c>
      <c r="H154" s="244" t="s">
        <v>766</v>
      </c>
      <c r="I154" s="244" t="s">
        <v>767</v>
      </c>
      <c r="J154" s="244" t="s">
        <v>768</v>
      </c>
      <c r="K154" s="244" t="s">
        <v>769</v>
      </c>
      <c r="M154" s="244" t="s">
        <v>770</v>
      </c>
      <c r="N154" s="244" t="s">
        <v>771</v>
      </c>
      <c r="O154" s="244" t="s">
        <v>772</v>
      </c>
      <c r="Q154" s="244" t="s">
        <v>773</v>
      </c>
      <c r="R154" s="244" t="s">
        <v>774</v>
      </c>
      <c r="S154" s="244" t="s">
        <v>775</v>
      </c>
      <c r="T154" s="244" t="s">
        <v>776</v>
      </c>
      <c r="U154" s="244" t="s">
        <v>777</v>
      </c>
    </row>
    <row r="155" spans="1:21" s="244" customFormat="1" x14ac:dyDescent="0.25">
      <c r="A155" s="244" t="s">
        <v>254</v>
      </c>
      <c r="B155" s="244" t="s">
        <v>737</v>
      </c>
      <c r="C155" s="244">
        <v>0.45</v>
      </c>
      <c r="D155" s="244">
        <v>3.2981763061764506</v>
      </c>
      <c r="E155" s="244">
        <v>1.0970547891095882E-12</v>
      </c>
      <c r="F155" s="244">
        <v>1</v>
      </c>
      <c r="G155" s="244">
        <v>0</v>
      </c>
      <c r="H155" s="244">
        <v>50000</v>
      </c>
      <c r="I155" s="244">
        <v>3.8685954734390894E-3</v>
      </c>
      <c r="J155" s="244">
        <v>0.86696454840813486</v>
      </c>
      <c r="K155" s="244">
        <v>0.12916685611842604</v>
      </c>
      <c r="M155" s="244">
        <v>3.2981763061764506</v>
      </c>
      <c r="N155" s="244">
        <v>31568.109078917496</v>
      </c>
      <c r="O155" s="244">
        <v>139524.993162395</v>
      </c>
      <c r="Q155" s="244">
        <v>6537127562.2837496</v>
      </c>
      <c r="R155" s="244">
        <v>2.8300111095503962E-2</v>
      </c>
      <c r="S155" s="244">
        <v>25289502.096744824</v>
      </c>
      <c r="T155" s="244">
        <v>5667457844.9217024</v>
      </c>
      <c r="U155" s="244">
        <v>844380215.2653023</v>
      </c>
    </row>
    <row r="156" spans="1:21" s="244" customFormat="1" x14ac:dyDescent="0.25">
      <c r="A156" s="244" t="s">
        <v>625</v>
      </c>
      <c r="B156" s="244" t="s">
        <v>737</v>
      </c>
      <c r="C156" s="244">
        <v>0.45</v>
      </c>
      <c r="D156" s="244">
        <v>3.0023726993525175</v>
      </c>
      <c r="E156" s="244">
        <v>0</v>
      </c>
      <c r="F156" s="244">
        <v>1</v>
      </c>
      <c r="G156" s="244">
        <v>0</v>
      </c>
      <c r="H156" s="244">
        <v>50000</v>
      </c>
      <c r="I156" s="244">
        <v>7.7072740374069998E-2</v>
      </c>
      <c r="J156" s="244">
        <v>0.75017616598343162</v>
      </c>
      <c r="K156" s="244">
        <v>0.17275109364249841</v>
      </c>
      <c r="M156" s="244">
        <v>3.0023726993525175</v>
      </c>
      <c r="N156" s="244">
        <v>9074.6005105890636</v>
      </c>
      <c r="O156" s="244">
        <v>4104.1690902807704</v>
      </c>
      <c r="Q156" s="244">
        <v>50318753.785850018</v>
      </c>
      <c r="R156" s="244">
        <v>2.1783670408129249E-4</v>
      </c>
      <c r="S156" s="244">
        <v>3878204.2464835704</v>
      </c>
      <c r="T156" s="244">
        <v>37747929.792133249</v>
      </c>
      <c r="U156" s="244">
        <v>8692619.7472331971</v>
      </c>
    </row>
    <row r="157" spans="1:21" s="244" customFormat="1" x14ac:dyDescent="0.25">
      <c r="A157" s="244" t="s">
        <v>260</v>
      </c>
      <c r="B157" s="244" t="s">
        <v>738</v>
      </c>
      <c r="C157" s="244">
        <v>0.5</v>
      </c>
      <c r="D157" s="244">
        <v>5.0020104360317523</v>
      </c>
      <c r="E157" s="244">
        <v>8.0604572645448002E-14</v>
      </c>
      <c r="F157" s="244">
        <v>1</v>
      </c>
      <c r="G157" s="244">
        <v>0</v>
      </c>
      <c r="H157" s="244">
        <v>50000</v>
      </c>
      <c r="I157" s="244">
        <v>0.10122824182767125</v>
      </c>
      <c r="J157" s="244">
        <v>0.53662763757549392</v>
      </c>
      <c r="K157" s="244">
        <v>0.36214412059683487</v>
      </c>
      <c r="M157" s="244">
        <v>5.0020104360317523</v>
      </c>
      <c r="N157" s="244">
        <v>22972.685638265517</v>
      </c>
      <c r="O157" s="244">
        <v>35003.686180873003</v>
      </c>
      <c r="Q157" s="244">
        <v>2011130021.6692622</v>
      </c>
      <c r="R157" s="244">
        <v>8.7064544019483762E-3</v>
      </c>
      <c r="S157" s="244">
        <v>203583156.18042579</v>
      </c>
      <c r="T157" s="244">
        <v>1079227952.3855281</v>
      </c>
      <c r="U157" s="244">
        <v>728318913.10330844</v>
      </c>
    </row>
    <row r="158" spans="1:21" s="244" customFormat="1" x14ac:dyDescent="0.25">
      <c r="A158" s="244" t="s">
        <v>262</v>
      </c>
      <c r="B158" s="244" t="s">
        <v>739</v>
      </c>
      <c r="C158" s="244">
        <v>0.54986773263798583</v>
      </c>
      <c r="D158" s="244">
        <v>7.0207061713250694</v>
      </c>
      <c r="E158" s="244">
        <v>14</v>
      </c>
      <c r="F158" s="244">
        <v>0.70118990615773014</v>
      </c>
      <c r="G158" s="244">
        <v>0.29881009384226986</v>
      </c>
      <c r="H158" s="244">
        <v>85000</v>
      </c>
      <c r="I158" s="244">
        <v>0.23790927309693199</v>
      </c>
      <c r="J158" s="244">
        <v>0.63417427324530606</v>
      </c>
      <c r="K158" s="244">
        <v>0.12791645365776194</v>
      </c>
      <c r="M158" s="244">
        <v>9.1061896152241992</v>
      </c>
      <c r="N158" s="244">
        <v>51458.635743924307</v>
      </c>
      <c r="O158" s="244">
        <v>62900.8634208449</v>
      </c>
      <c r="Q158" s="244">
        <v>16207267472.028231</v>
      </c>
      <c r="R158" s="244">
        <v>7.0163457213111319E-2</v>
      </c>
      <c r="S158" s="244">
        <v>3855859223.1577868</v>
      </c>
      <c r="T158" s="244">
        <v>10278232070.365791</v>
      </c>
      <c r="U158" s="244">
        <v>2073176178.5046518</v>
      </c>
    </row>
    <row r="159" spans="1:21" s="244" customFormat="1" x14ac:dyDescent="0.25">
      <c r="A159" s="244" t="s">
        <v>264</v>
      </c>
      <c r="B159" s="244" t="s">
        <v>740</v>
      </c>
      <c r="C159" s="244">
        <v>0.59995140001488945</v>
      </c>
      <c r="D159" s="244">
        <v>10.00732466956296</v>
      </c>
      <c r="E159" s="244">
        <v>18</v>
      </c>
      <c r="F159" s="244">
        <v>0.60017205466215418</v>
      </c>
      <c r="G159" s="244">
        <v>0.39982794533784582</v>
      </c>
      <c r="H159" s="244">
        <v>85000</v>
      </c>
      <c r="I159" s="244">
        <v>0.38260924149435721</v>
      </c>
      <c r="J159" s="244">
        <v>0.4052037511225669</v>
      </c>
      <c r="K159" s="244">
        <v>0.21218700738307583</v>
      </c>
      <c r="M159" s="244">
        <v>13.203019624684089</v>
      </c>
      <c r="N159" s="244">
        <v>50656.062531720447</v>
      </c>
      <c r="O159" s="244">
        <v>13425.803690975799</v>
      </c>
      <c r="Q159" s="244">
        <v>5387174731.0586004</v>
      </c>
      <c r="R159" s="244">
        <v>2.3321809453353989E-2</v>
      </c>
      <c r="S159" s="244">
        <v>2061182837.6478989</v>
      </c>
      <c r="T159" s="244">
        <v>2182903408.9776506</v>
      </c>
      <c r="U159" s="244">
        <v>1143088484.4330509</v>
      </c>
    </row>
    <row r="160" spans="1:21" s="244" customFormat="1" x14ac:dyDescent="0.25">
      <c r="A160" s="244" t="s">
        <v>266</v>
      </c>
      <c r="B160" s="244" t="s">
        <v>741</v>
      </c>
      <c r="C160" s="244">
        <v>0.64996627739340673</v>
      </c>
      <c r="D160" s="244">
        <v>11.504785022781094</v>
      </c>
      <c r="E160" s="244">
        <v>22</v>
      </c>
      <c r="F160" s="244">
        <v>0.49991969972843614</v>
      </c>
      <c r="G160" s="244">
        <v>0.50008030027156392</v>
      </c>
      <c r="H160" s="244">
        <v>110000</v>
      </c>
      <c r="I160" s="244">
        <v>0.53643877869680989</v>
      </c>
      <c r="J160" s="244">
        <v>0.30850873226016629</v>
      </c>
      <c r="K160" s="244">
        <v>0.15505248904302382</v>
      </c>
      <c r="M160" s="244">
        <v>16.753235280003342</v>
      </c>
      <c r="N160" s="244">
        <v>62603.874056993533</v>
      </c>
      <c r="O160" s="244">
        <v>5827.4199799574699</v>
      </c>
      <c r="Q160" s="244">
        <v>3972528667.0479121</v>
      </c>
      <c r="R160" s="244">
        <v>1.7197614936590763E-2</v>
      </c>
      <c r="S160" s="244">
        <v>2131018426.489248</v>
      </c>
      <c r="T160" s="244">
        <v>1225559782.9381196</v>
      </c>
      <c r="U160" s="244">
        <v>615950457.62054443</v>
      </c>
    </row>
    <row r="161" spans="1:21" s="244" customFormat="1" x14ac:dyDescent="0.25">
      <c r="A161" s="244" t="s">
        <v>268</v>
      </c>
      <c r="B161" s="244" t="s">
        <v>742</v>
      </c>
      <c r="C161" s="244">
        <v>0.7341397689947935</v>
      </c>
      <c r="D161" s="244">
        <v>14.033105618759844</v>
      </c>
      <c r="E161" s="244">
        <v>28</v>
      </c>
      <c r="F161" s="244">
        <v>0.10129458505928959</v>
      </c>
      <c r="G161" s="244">
        <v>0.89870541494071043</v>
      </c>
      <c r="H161" s="244">
        <v>150000</v>
      </c>
      <c r="I161" s="244">
        <v>0.53760202796677636</v>
      </c>
      <c r="J161" s="244">
        <v>0.233592189299801</v>
      </c>
      <c r="K161" s="244">
        <v>0.22880578273342267</v>
      </c>
      <c r="M161" s="244">
        <v>26.585229229085353</v>
      </c>
      <c r="N161" s="244">
        <v>72592.585420324685</v>
      </c>
      <c r="O161" s="244">
        <v>98993.743732509305</v>
      </c>
      <c r="Q161" s="244">
        <v>140255265005.97067</v>
      </c>
      <c r="R161" s="244">
        <v>0.60718404889312927</v>
      </c>
      <c r="S161" s="244">
        <v>75401514900.227478</v>
      </c>
      <c r="T161" s="244">
        <v>32762534413.568455</v>
      </c>
      <c r="U161" s="244">
        <v>32091215692.174744</v>
      </c>
    </row>
    <row r="162" spans="1:21" s="244" customFormat="1" x14ac:dyDescent="0.25">
      <c r="A162" s="244" t="s">
        <v>271</v>
      </c>
      <c r="B162" s="244" t="s">
        <v>744</v>
      </c>
      <c r="C162" s="244">
        <v>0.72960515894530087</v>
      </c>
      <c r="D162" s="244">
        <v>19.09131733301863</v>
      </c>
      <c r="E162" s="244">
        <v>30</v>
      </c>
      <c r="F162" s="244">
        <v>0.50237487782858536</v>
      </c>
      <c r="G162" s="244">
        <v>0.49762512217141464</v>
      </c>
      <c r="H162" s="244">
        <v>150000</v>
      </c>
      <c r="I162" s="244">
        <v>0.56374359044700451</v>
      </c>
      <c r="J162" s="244">
        <v>0.15895161485620113</v>
      </c>
      <c r="K162" s="244">
        <v>0.27730479469679437</v>
      </c>
      <c r="M162" s="244">
        <v>24.519751877904426</v>
      </c>
      <c r="N162" s="244">
        <v>73232.150047230869</v>
      </c>
      <c r="O162" s="244">
        <v>24913.114734895498</v>
      </c>
      <c r="Q162" s="244">
        <v>32638769732.712681</v>
      </c>
      <c r="R162" s="244">
        <v>0.1412976572134769</v>
      </c>
      <c r="S162" s="244">
        <v>18399897236.892464</v>
      </c>
      <c r="T162" s="244">
        <v>5187985155.9343805</v>
      </c>
      <c r="U162" s="244">
        <v>9050887339.8858356</v>
      </c>
    </row>
    <row r="163" spans="1:21" s="244" customFormat="1" x14ac:dyDescent="0.25">
      <c r="A163" s="244" t="s">
        <v>273</v>
      </c>
      <c r="B163" s="244" t="s">
        <v>745</v>
      </c>
      <c r="C163" s="244">
        <v>0.72998711869911637</v>
      </c>
      <c r="D163" s="244">
        <v>24.007944477114311</v>
      </c>
      <c r="E163" s="244">
        <v>32</v>
      </c>
      <c r="F163" s="244">
        <v>0.84986650610823178</v>
      </c>
      <c r="G163" s="244">
        <v>0.15013349389176822</v>
      </c>
      <c r="H163" s="244">
        <v>150000</v>
      </c>
      <c r="I163" s="244">
        <v>0.57232240188198613</v>
      </c>
      <c r="J163" s="244">
        <v>0.14760686462719269</v>
      </c>
      <c r="K163" s="244">
        <v>0.28007073349082123</v>
      </c>
      <c r="M163" s="244">
        <v>25.207819696142142</v>
      </c>
      <c r="N163" s="244">
        <v>91295.903958272844</v>
      </c>
      <c r="O163" s="244">
        <v>816.15741958667297</v>
      </c>
      <c r="Q163" s="244">
        <v>1371120760.5230141</v>
      </c>
      <c r="R163" s="244">
        <v>5.9357675796366709E-3</v>
      </c>
      <c r="S163" s="244">
        <v>784723126.93278694</v>
      </c>
      <c r="T163" s="244">
        <v>202386836.48605403</v>
      </c>
      <c r="U163" s="244">
        <v>384010797.10417318</v>
      </c>
    </row>
    <row r="164" spans="1:21" s="244" customFormat="1" x14ac:dyDescent="0.25">
      <c r="A164" s="244" t="s">
        <v>275</v>
      </c>
      <c r="B164" s="244" t="s">
        <v>746</v>
      </c>
      <c r="C164" s="244">
        <v>0.72999057085957486</v>
      </c>
      <c r="D164" s="244">
        <v>30.009066444903269</v>
      </c>
      <c r="E164" s="244">
        <v>34</v>
      </c>
      <c r="F164" s="244">
        <v>1</v>
      </c>
      <c r="G164" s="244">
        <v>0</v>
      </c>
      <c r="H164" s="244">
        <v>150000</v>
      </c>
      <c r="I164" s="244">
        <v>0.57247453233973344</v>
      </c>
      <c r="J164" s="244">
        <v>0.16975255533555478</v>
      </c>
      <c r="K164" s="244">
        <v>0.25777291232471178</v>
      </c>
      <c r="M164" s="244">
        <v>30.009066444903269</v>
      </c>
      <c r="N164" s="244">
        <v>76261.104221226706</v>
      </c>
      <c r="O164" s="244">
        <v>512.41385411772399</v>
      </c>
      <c r="Q164" s="244">
        <v>856039270.35432398</v>
      </c>
      <c r="R164" s="244">
        <v>3.7059100074648306E-3</v>
      </c>
      <c r="S164" s="244">
        <v>490060680.96053827</v>
      </c>
      <c r="T164" s="244">
        <v>145314853.61023033</v>
      </c>
      <c r="U164" s="244">
        <v>220663735.78355539</v>
      </c>
    </row>
    <row r="165" spans="1:21" s="244" customFormat="1" x14ac:dyDescent="0.25">
      <c r="A165" s="244" t="s">
        <v>277</v>
      </c>
      <c r="B165" s="244" t="s">
        <v>778</v>
      </c>
      <c r="C165" s="244">
        <v>0.4</v>
      </c>
      <c r="D165" s="244">
        <v>0.99463517084489572</v>
      </c>
      <c r="E165" s="244">
        <v>0</v>
      </c>
      <c r="F165" s="244">
        <v>1</v>
      </c>
      <c r="G165" s="244">
        <v>0</v>
      </c>
      <c r="H165" s="244">
        <v>35000</v>
      </c>
      <c r="I165" s="244">
        <v>2.9728140673891562E-3</v>
      </c>
      <c r="J165" s="244">
        <v>0.84886618495394994</v>
      </c>
      <c r="K165" s="244">
        <v>0.14816100097866092</v>
      </c>
      <c r="M165" s="244">
        <v>0.99463517084489572</v>
      </c>
      <c r="N165" s="244">
        <v>28313.189667496667</v>
      </c>
      <c r="O165" s="244">
        <v>1095973.7314067199</v>
      </c>
      <c r="Q165" s="244">
        <v>12345615492.700348</v>
      </c>
      <c r="R165" s="244">
        <v>5.3445842483107034E-2</v>
      </c>
      <c r="S165" s="244">
        <v>36701219.4072771</v>
      </c>
      <c r="T165" s="244">
        <v>10479775524.196924</v>
      </c>
      <c r="U165" s="244">
        <v>1829138749.0961475</v>
      </c>
    </row>
    <row r="166" spans="1:21" s="244" customFormat="1" x14ac:dyDescent="0.25">
      <c r="A166" s="244" t="s">
        <v>278</v>
      </c>
      <c r="B166" s="244" t="s">
        <v>778</v>
      </c>
      <c r="C166" s="244">
        <v>0.4</v>
      </c>
      <c r="D166" s="244">
        <v>0.99592844357001542</v>
      </c>
      <c r="E166" s="244">
        <v>8.6338799980859581E-12</v>
      </c>
      <c r="F166" s="244">
        <v>1.0001263477248878</v>
      </c>
      <c r="G166" s="244">
        <v>-1.2634772488784307E-4</v>
      </c>
      <c r="H166" s="244">
        <v>28000</v>
      </c>
      <c r="I166" s="244">
        <v>1.8469978812611192E-3</v>
      </c>
      <c r="J166" s="244">
        <v>0.83037800414219365</v>
      </c>
      <c r="K166" s="244">
        <v>0.16777499797654527</v>
      </c>
      <c r="M166" s="244">
        <v>0.99605427686301051</v>
      </c>
      <c r="N166" s="244">
        <v>17268.327870789901</v>
      </c>
      <c r="O166" s="244">
        <v>1360543.33323679</v>
      </c>
      <c r="Q166" s="244">
        <v>9360642529.865469</v>
      </c>
      <c r="R166" s="244">
        <v>4.0523490018595648E-2</v>
      </c>
      <c r="S166" s="244">
        <v>17289086.919904243</v>
      </c>
      <c r="T166" s="244">
        <v>7772871661.4382229</v>
      </c>
      <c r="U166" s="244">
        <v>1570481781.5073426</v>
      </c>
    </row>
    <row r="167" spans="1:21" s="244" customFormat="1" x14ac:dyDescent="0.25">
      <c r="A167" s="244" t="s">
        <v>779</v>
      </c>
    </row>
    <row r="168" spans="1:21" x14ac:dyDescent="0.25">
      <c r="A168" s="239" t="s">
        <v>780</v>
      </c>
      <c r="Q168" s="239" t="s">
        <v>781</v>
      </c>
    </row>
    <row r="169" spans="1:21" x14ac:dyDescent="0.25">
      <c r="A169" s="239" t="s">
        <v>782</v>
      </c>
      <c r="P169" s="239" t="s">
        <v>783</v>
      </c>
      <c r="Q169" s="239">
        <v>230993000000.00009</v>
      </c>
      <c r="R169" s="239">
        <v>0.99999999999999989</v>
      </c>
      <c r="S169" s="239">
        <v>103410997601.15904</v>
      </c>
      <c r="T169" s="239">
        <v>77021997434.615189</v>
      </c>
      <c r="U169" s="239">
        <v>50560004964.225876</v>
      </c>
    </row>
    <row r="170" spans="1:21" x14ac:dyDescent="0.25">
      <c r="A170" s="239" t="s">
        <v>784</v>
      </c>
      <c r="P170" s="239" t="s">
        <v>785</v>
      </c>
      <c r="Q170" s="239">
        <v>230993000000</v>
      </c>
      <c r="S170" s="239">
        <v>103411000000.00002</v>
      </c>
      <c r="T170" s="239">
        <v>77021999999.999985</v>
      </c>
      <c r="U170" s="239">
        <v>50560000000</v>
      </c>
    </row>
    <row r="171" spans="1:21" x14ac:dyDescent="0.25">
      <c r="P171" s="239" t="s">
        <v>786</v>
      </c>
      <c r="Q171" s="239">
        <v>0</v>
      </c>
      <c r="S171" s="239">
        <v>2.3197154752629956E-8</v>
      </c>
      <c r="T171" s="239">
        <v>3.3307169355900612E-8</v>
      </c>
      <c r="U171" s="239">
        <v>9.8184847141524756E-8</v>
      </c>
    </row>
    <row r="172" spans="1:21" x14ac:dyDescent="0.25">
      <c r="A172" s="239" t="s">
        <v>787</v>
      </c>
    </row>
  </sheetData>
  <pageMargins left="0.7" right="0.7" top="0.75" bottom="0.75" header="0.3" footer="0.3"/>
  <pageSetup paperSize="9" orientation="portrait" horizontalDpi="4294967292" verticalDpi="4294967292" r:id="rId1"/>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4D9FC5-A34C-4268-9351-1EB5804258D9}">
  <sheetPr>
    <tabColor theme="5" tint="0.79998168889431442"/>
  </sheetPr>
  <dimension ref="A1:AO172"/>
  <sheetViews>
    <sheetView workbookViewId="0"/>
  </sheetViews>
  <sheetFormatPr defaultColWidth="8.85546875" defaultRowHeight="15" x14ac:dyDescent="0.25"/>
  <cols>
    <col min="1" max="1" width="13.42578125" style="65" customWidth="1"/>
    <col min="2" max="2" width="23" style="65" customWidth="1"/>
    <col min="3" max="5" width="15.140625" style="65" customWidth="1"/>
    <col min="6" max="6" width="25.42578125" style="65" customWidth="1"/>
    <col min="7" max="11" width="17.42578125" style="65" customWidth="1"/>
    <col min="12" max="15" width="18.42578125" style="65" customWidth="1"/>
    <col min="16" max="17" width="11.140625" style="65" customWidth="1"/>
    <col min="18" max="18" width="17.42578125" style="65" bestFit="1" customWidth="1"/>
    <col min="19" max="21" width="16.42578125" style="65" bestFit="1" customWidth="1"/>
    <col min="22" max="22" width="13.42578125" style="65" bestFit="1" customWidth="1"/>
    <col min="23" max="23" width="9" style="65" bestFit="1" customWidth="1"/>
    <col min="24" max="24" width="11.42578125" style="65" customWidth="1"/>
    <col min="25" max="25" width="8.5703125" style="65" customWidth="1"/>
    <col min="26" max="26" width="10.42578125" style="65" customWidth="1"/>
    <col min="27" max="28" width="9" style="65" bestFit="1" customWidth="1"/>
    <col min="29" max="29" width="23.85546875" style="65" bestFit="1" customWidth="1"/>
    <col min="30" max="30" width="10.140625" style="65" bestFit="1" customWidth="1"/>
    <col min="31" max="31" width="19.42578125" style="65" bestFit="1" customWidth="1"/>
    <col min="32" max="32" width="17" style="65" bestFit="1" customWidth="1"/>
    <col min="33" max="33" width="15.85546875" style="65" customWidth="1"/>
    <col min="34" max="34" width="9" style="65" bestFit="1" customWidth="1"/>
    <col min="35" max="35" width="9.42578125" style="65" bestFit="1" customWidth="1"/>
    <col min="36" max="16384" width="8.85546875" style="65"/>
  </cols>
  <sheetData>
    <row r="1" spans="1:39" ht="15.75" x14ac:dyDescent="0.25">
      <c r="A1" s="348" t="s">
        <v>859</v>
      </c>
      <c r="B1" s="348"/>
      <c r="C1" s="348"/>
      <c r="D1" s="348"/>
      <c r="E1" s="348"/>
      <c r="F1" s="348"/>
      <c r="G1" s="348"/>
    </row>
    <row r="2" spans="1:39" x14ac:dyDescent="0.25">
      <c r="A2" s="65" t="s">
        <v>573</v>
      </c>
    </row>
    <row r="3" spans="1:39" x14ac:dyDescent="0.25">
      <c r="A3" s="65" t="s">
        <v>329</v>
      </c>
    </row>
    <row r="4" spans="1:39" x14ac:dyDescent="0.25">
      <c r="A4" s="65" t="s">
        <v>574</v>
      </c>
    </row>
    <row r="5" spans="1:39" x14ac:dyDescent="0.25">
      <c r="P5" s="65">
        <f>242/320</f>
        <v>0.75624999999999998</v>
      </c>
    </row>
    <row r="7" spans="1:39" x14ac:dyDescent="0.25">
      <c r="C7" s="65" t="s">
        <v>575</v>
      </c>
      <c r="D7" s="65" t="s">
        <v>576</v>
      </c>
      <c r="E7" s="63">
        <v>34.200000000000003</v>
      </c>
      <c r="F7" s="65" t="s">
        <v>577</v>
      </c>
      <c r="H7" s="241"/>
      <c r="I7" s="242" t="s">
        <v>578</v>
      </c>
    </row>
    <row r="8" spans="1:39" x14ac:dyDescent="0.25">
      <c r="C8" s="65" t="s">
        <v>579</v>
      </c>
      <c r="D8" s="65" t="s">
        <v>576</v>
      </c>
      <c r="E8" s="63">
        <v>38.1</v>
      </c>
      <c r="F8" s="65" t="s">
        <v>580</v>
      </c>
      <c r="H8" s="241"/>
      <c r="I8" s="243">
        <f>(SUMPRODUCT(J18:J20,N18:N20)+SUMPRODUCT(C18:C21,F18:F21))/(SUM(F18:F21)+SUM(N18:N20))</f>
        <v>13681.779023067493</v>
      </c>
    </row>
    <row r="9" spans="1:39" x14ac:dyDescent="0.25">
      <c r="G9" s="65" t="s">
        <v>581</v>
      </c>
      <c r="H9" s="86">
        <v>0.98651860575392236</v>
      </c>
      <c r="I9" s="86"/>
      <c r="J9" s="86"/>
      <c r="K9" s="86"/>
    </row>
    <row r="10" spans="1:39" x14ac:dyDescent="0.25">
      <c r="B10" s="93" t="s">
        <v>582</v>
      </c>
      <c r="G10" s="65" t="s">
        <v>583</v>
      </c>
      <c r="H10" s="86">
        <v>1.0234574055512917</v>
      </c>
      <c r="I10" s="86"/>
      <c r="J10" s="86"/>
      <c r="K10" s="86"/>
    </row>
    <row r="11" spans="1:39" x14ac:dyDescent="0.25">
      <c r="D11" s="93" t="s">
        <v>243</v>
      </c>
      <c r="L11" s="93" t="s">
        <v>237</v>
      </c>
      <c r="R11" s="93" t="s">
        <v>59</v>
      </c>
      <c r="T11" s="93" t="s">
        <v>584</v>
      </c>
      <c r="U11" s="93"/>
      <c r="AF11" s="65" t="s">
        <v>237</v>
      </c>
      <c r="AG11" s="65" t="s">
        <v>59</v>
      </c>
      <c r="AL11" s="65" t="s">
        <v>237</v>
      </c>
      <c r="AM11" s="65" t="s">
        <v>59</v>
      </c>
    </row>
    <row r="12" spans="1:39" x14ac:dyDescent="0.25">
      <c r="C12" s="65" t="s">
        <v>585</v>
      </c>
      <c r="D12" s="65" t="s">
        <v>586</v>
      </c>
      <c r="F12" s="65" t="s">
        <v>587</v>
      </c>
      <c r="G12" s="65" t="s">
        <v>588</v>
      </c>
      <c r="H12" s="65" t="s">
        <v>589</v>
      </c>
      <c r="J12" s="65" t="s">
        <v>585</v>
      </c>
      <c r="L12" s="65" t="s">
        <v>586</v>
      </c>
      <c r="N12" s="65" t="s">
        <v>587</v>
      </c>
      <c r="O12" s="65" t="s">
        <v>588</v>
      </c>
      <c r="P12" s="93" t="s">
        <v>237</v>
      </c>
      <c r="R12" s="93" t="s">
        <v>87</v>
      </c>
      <c r="S12" s="93" t="s">
        <v>87</v>
      </c>
      <c r="V12" s="349"/>
      <c r="W12" s="349" t="s">
        <v>590</v>
      </c>
      <c r="X12" s="349" t="s">
        <v>591</v>
      </c>
      <c r="Y12" s="349" t="s">
        <v>592</v>
      </c>
      <c r="Z12" s="349" t="s">
        <v>593</v>
      </c>
      <c r="AA12" s="65" t="s">
        <v>594</v>
      </c>
      <c r="AB12" s="65" t="s">
        <v>595</v>
      </c>
      <c r="AC12" s="65" t="s">
        <v>595</v>
      </c>
      <c r="AD12" s="65" t="s">
        <v>596</v>
      </c>
      <c r="AE12" s="65" t="s">
        <v>87</v>
      </c>
      <c r="AF12" s="65" t="s">
        <v>597</v>
      </c>
      <c r="AG12" s="65" t="s">
        <v>597</v>
      </c>
      <c r="AL12" s="65" t="s">
        <v>598</v>
      </c>
      <c r="AM12" s="65" t="s">
        <v>598</v>
      </c>
    </row>
    <row r="13" spans="1:39" ht="15.75" thickBot="1" x14ac:dyDescent="0.3">
      <c r="C13" s="65" t="s">
        <v>224</v>
      </c>
      <c r="D13" s="65" t="s">
        <v>226</v>
      </c>
      <c r="E13" s="65" t="s">
        <v>599</v>
      </c>
      <c r="G13" s="65" t="s">
        <v>600</v>
      </c>
      <c r="H13" s="65" t="s">
        <v>177</v>
      </c>
      <c r="J13" s="65" t="s">
        <v>224</v>
      </c>
      <c r="L13" s="65" t="s">
        <v>226</v>
      </c>
      <c r="M13" s="65" t="s">
        <v>599</v>
      </c>
      <c r="O13" s="65" t="s">
        <v>600</v>
      </c>
      <c r="P13" s="65" t="s">
        <v>177</v>
      </c>
      <c r="R13" s="65" t="s">
        <v>601</v>
      </c>
      <c r="S13" s="65" t="s">
        <v>177</v>
      </c>
      <c r="AD13" s="65" t="s">
        <v>602</v>
      </c>
      <c r="AF13" s="65" t="s">
        <v>603</v>
      </c>
      <c r="AG13" s="65" t="s">
        <v>603</v>
      </c>
    </row>
    <row r="14" spans="1:39" ht="15.75" thickTop="1" x14ac:dyDescent="0.25">
      <c r="B14" s="34" t="s">
        <v>604</v>
      </c>
      <c r="H14" s="247">
        <v>401271.35853780009</v>
      </c>
      <c r="L14" s="248"/>
      <c r="M14" s="248"/>
      <c r="N14" s="248"/>
      <c r="O14" s="248"/>
      <c r="P14" s="249">
        <v>333000</v>
      </c>
      <c r="Q14" s="249"/>
      <c r="S14" s="247">
        <v>71.063999999999993</v>
      </c>
      <c r="AD14" s="86"/>
      <c r="AF14" s="350"/>
      <c r="AG14" s="351"/>
      <c r="AL14" s="352"/>
      <c r="AM14" s="353"/>
    </row>
    <row r="15" spans="1:39" x14ac:dyDescent="0.25">
      <c r="B15" s="254" t="s">
        <v>605</v>
      </c>
      <c r="H15" s="255">
        <f>SUM(H17:H36)</f>
        <v>367835.14179714583</v>
      </c>
      <c r="L15" s="248"/>
      <c r="M15" s="248"/>
      <c r="N15" s="248"/>
      <c r="O15" s="248"/>
      <c r="P15" s="255">
        <f>SUM(P17:P41)-P37</f>
        <v>328924.32897185528</v>
      </c>
      <c r="Q15" s="249"/>
      <c r="S15" s="256">
        <f>SUM(S17:S41)-S37</f>
        <v>11809.512000000001</v>
      </c>
      <c r="AD15" s="86"/>
      <c r="AF15" s="354"/>
      <c r="AG15" s="355"/>
      <c r="AL15" s="356"/>
      <c r="AM15" s="357"/>
    </row>
    <row r="16" spans="1:39" x14ac:dyDescent="0.25">
      <c r="B16" s="34" t="s">
        <v>606</v>
      </c>
      <c r="H16" s="261">
        <f>H15/H14-1</f>
        <v>-8.3325699752140547E-2</v>
      </c>
      <c r="L16" s="262">
        <f>H16/H14</f>
        <v>-2.0765424189698602E-7</v>
      </c>
      <c r="M16" s="248"/>
      <c r="N16" s="248"/>
      <c r="O16" s="248"/>
      <c r="P16" s="261">
        <f>P15/P14-1</f>
        <v>-1.2239252336770923E-2</v>
      </c>
      <c r="Q16" s="249"/>
      <c r="S16" s="263">
        <f>P16/P14</f>
        <v>-3.6754511521834606E-8</v>
      </c>
      <c r="AD16" s="86"/>
      <c r="AF16" s="354"/>
      <c r="AG16" s="355"/>
      <c r="AL16" s="356"/>
      <c r="AM16" s="357"/>
    </row>
    <row r="17" spans="1:41" x14ac:dyDescent="0.25">
      <c r="B17" s="47" t="s">
        <v>135</v>
      </c>
      <c r="H17" s="264"/>
      <c r="L17" s="248"/>
      <c r="M17" s="265">
        <f>1/M18</f>
        <v>0.23305744392160094</v>
      </c>
      <c r="N17" s="266"/>
      <c r="O17" s="248"/>
      <c r="P17" s="264"/>
      <c r="Q17" s="267"/>
      <c r="S17" s="268"/>
      <c r="AD17" s="86"/>
      <c r="AF17" s="354"/>
      <c r="AG17" s="355"/>
      <c r="AL17" s="356"/>
      <c r="AM17" s="357"/>
    </row>
    <row r="18" spans="1:41" x14ac:dyDescent="0.25">
      <c r="A18" s="65" t="s">
        <v>490</v>
      </c>
      <c r="B18" s="50" t="s">
        <v>282</v>
      </c>
      <c r="C18" s="243">
        <f>SUMIF(Analytica!$B$17:$B$41,$A18,Analytica!$I$17:$I$41)</f>
        <v>19920.095193486901</v>
      </c>
      <c r="D18" s="269">
        <f>SUMIF(Analytica!$B$17:$B$41,$A18,Analytica!$V$17:$V$41)</f>
        <v>13.551554667779801</v>
      </c>
      <c r="E18" s="112">
        <f t="shared" ref="E18:E23" si="0">D18*E$7/100</f>
        <v>4.6346316963806924</v>
      </c>
      <c r="F18" s="243">
        <f>SUMIF(Analytica!$B$17:$B$41,$A18,Analytica!$AH$17:$AH$41)*1000</f>
        <v>269853.81765315495</v>
      </c>
      <c r="G18" s="358">
        <f t="shared" ref="G18:G23" si="1">F18*C18/1000000000</f>
        <v>5.3755137359767025</v>
      </c>
      <c r="H18" s="264">
        <f t="shared" ref="H18:H23" si="2">G18*E18*1000</f>
        <v>24913.526345087419</v>
      </c>
      <c r="I18" s="65" t="s">
        <v>488</v>
      </c>
      <c r="J18" s="243">
        <f>SUMIF(Analytica!$B$17:$B$41,$I18,Analytica!$I$17:$I$41)</f>
        <v>20405.076992301299</v>
      </c>
      <c r="L18" s="269">
        <f>SUMIF(Analytica!$B$17:$B$41,$I18,Analytica!$V$17:$V$41)</f>
        <v>11.2619098186515</v>
      </c>
      <c r="M18" s="112">
        <f>L18*E$8/100</f>
        <v>4.2907876409062213</v>
      </c>
      <c r="N18" s="243">
        <f>SUMIF(Analytica!$B$17:$B$41,$I18,Analytica!$AH$17:$AH$41)*1000</f>
        <v>231738.80616391401</v>
      </c>
      <c r="O18" s="358">
        <f>N18*J18/1000000000</f>
        <v>4.7286481818786523</v>
      </c>
      <c r="P18" s="264">
        <f>O18*M18*1000</f>
        <v>20289.625176998594</v>
      </c>
      <c r="Q18" s="272">
        <f>P18/$P$15</f>
        <v>6.1684780935540633E-2</v>
      </c>
      <c r="S18" s="273"/>
      <c r="AD18" s="86"/>
      <c r="AF18" s="354"/>
      <c r="AG18" s="355"/>
      <c r="AL18" s="356"/>
      <c r="AM18" s="357"/>
      <c r="AO18" s="65" t="s">
        <v>87</v>
      </c>
    </row>
    <row r="19" spans="1:41" x14ac:dyDescent="0.25">
      <c r="A19" s="65" t="s">
        <v>489</v>
      </c>
      <c r="B19" s="50" t="s">
        <v>607</v>
      </c>
      <c r="C19" s="243">
        <f>SUMIF(Analytica!$B$17:$B$41,$A19,Analytica!$I$17:$I$41)</f>
        <v>22250.436222693301</v>
      </c>
      <c r="D19" s="269">
        <f>SUMIF(Analytica!$B$17:$B$41,$A19,Analytica!$V$17:$V$41)</f>
        <v>6.8382247609900997</v>
      </c>
      <c r="E19" s="112">
        <f t="shared" si="0"/>
        <v>2.3386728682586142</v>
      </c>
      <c r="F19" s="243">
        <f>SUMIF(Analytica!$B$17:$B$41,$A19,Analytica!$AH$17:$AH$41)*1000</f>
        <v>521.82555211336103</v>
      </c>
      <c r="G19" s="358">
        <f t="shared" si="1"/>
        <v>1.1610846166670059E-2</v>
      </c>
      <c r="H19" s="264">
        <f t="shared" si="2"/>
        <v>27.153970907515802</v>
      </c>
      <c r="J19" s="243"/>
      <c r="L19" s="269"/>
      <c r="M19" s="112"/>
      <c r="N19" s="243">
        <f>SUMIF(Analytica!$B$17:$B$41,$I19,Analytica!$AH$17:$AH$41)*1000</f>
        <v>0</v>
      </c>
      <c r="O19" s="358"/>
      <c r="P19" s="264"/>
      <c r="Q19" s="272"/>
      <c r="S19" s="273"/>
      <c r="AD19" s="86"/>
      <c r="AF19" s="354"/>
      <c r="AG19" s="355"/>
      <c r="AL19" s="356"/>
      <c r="AM19" s="357"/>
    </row>
    <row r="20" spans="1:41" x14ac:dyDescent="0.25">
      <c r="A20" s="65" t="s">
        <v>470</v>
      </c>
      <c r="B20" s="50" t="s">
        <v>137</v>
      </c>
      <c r="C20" s="243">
        <f>SUMIF(Analytica!$B$17:$B$41,$A20,Analytica!$I$17:$I$41)</f>
        <v>12852.747242613699</v>
      </c>
      <c r="D20" s="269">
        <f>SUMIF(Analytica!$B$17:$B$41,$A20,Analytica!$V$17:$V$41)</f>
        <v>8.1935839212683703</v>
      </c>
      <c r="E20" s="112">
        <f t="shared" si="0"/>
        <v>2.8022057010737829</v>
      </c>
      <c r="F20" s="243">
        <f>SUMIF(Analytica!$B$17:$B$41,$A20,Analytica!$AH$17:$AH$41)*1000</f>
        <v>5479096.0107301502</v>
      </c>
      <c r="G20" s="358">
        <f t="shared" si="1"/>
        <v>70.421436143927664</v>
      </c>
      <c r="H20" s="264">
        <f t="shared" si="2"/>
        <v>197335.34984031747</v>
      </c>
      <c r="I20" s="65" t="s">
        <v>469</v>
      </c>
      <c r="J20" s="243">
        <f>SUMIF(Analytica!$B$17:$B$41,$I20,Analytica!$I$17:$I$41)</f>
        <v>18220.3496192737</v>
      </c>
      <c r="L20" s="269">
        <f>SUMIF(Analytica!$B$17:$B$41,$I20,Analytica!$V$17:$V$41)</f>
        <v>7.9055959462827703</v>
      </c>
      <c r="M20" s="112">
        <f>L20*E$8/100</f>
        <v>3.0120320555337354</v>
      </c>
      <c r="N20" s="243">
        <f>SUMIF(Analytica!$B$17:$B$41,$I20,Analytica!$AH$17:$AH$41)*1000</f>
        <v>283266.25529421499</v>
      </c>
      <c r="O20" s="358">
        <f>N20*J20/1000000000</f>
        <v>5.1612102068030365</v>
      </c>
      <c r="P20" s="264">
        <f>O20*M20*1000</f>
        <v>15545.730588238646</v>
      </c>
      <c r="Q20" s="274">
        <f>P20/$P$15</f>
        <v>4.7262331238407215E-2</v>
      </c>
      <c r="S20" s="273"/>
      <c r="AD20" s="86"/>
      <c r="AF20" s="354"/>
      <c r="AG20" s="355"/>
      <c r="AL20" s="356"/>
      <c r="AM20" s="357"/>
    </row>
    <row r="21" spans="1:41" x14ac:dyDescent="0.25">
      <c r="A21" s="65" t="s">
        <v>472</v>
      </c>
      <c r="B21" s="50" t="s">
        <v>608</v>
      </c>
      <c r="C21" s="243">
        <f>SUMIF(Analytica!$B$17:$B$41,$A21,Analytica!$I$17:$I$41)</f>
        <v>18345.381909407301</v>
      </c>
      <c r="D21" s="269">
        <f>SUMIF(Analytica!$B$17:$B$41,$A21,Analytica!$V$17:$V$41)</f>
        <v>6.0121796481091199</v>
      </c>
      <c r="E21" s="112">
        <f t="shared" si="0"/>
        <v>2.0561654396533191</v>
      </c>
      <c r="F21" s="243">
        <f>SUMIF(Analytica!$B$17:$B$41,$A21,Analytica!$AH$17:$AH$41)*1000</f>
        <v>2308.7301118619198</v>
      </c>
      <c r="G21" s="358">
        <f t="shared" si="1"/>
        <v>4.2354535627855551E-2</v>
      </c>
      <c r="H21" s="264">
        <f t="shared" si="2"/>
        <v>87.087932370561788</v>
      </c>
      <c r="J21" s="243"/>
      <c r="L21" s="269"/>
      <c r="M21" s="112"/>
      <c r="N21" s="243">
        <f>SUMIF(Analytica!$B$17:$B$41,$I21,Analytica!$AH$17:$AH$41)*1000</f>
        <v>0</v>
      </c>
      <c r="O21" s="358"/>
      <c r="P21" s="264"/>
      <c r="Q21" s="274"/>
      <c r="S21" s="273"/>
      <c r="AD21" s="86"/>
      <c r="AF21" s="354"/>
      <c r="AG21" s="355"/>
      <c r="AL21" s="356"/>
      <c r="AM21" s="357"/>
    </row>
    <row r="22" spans="1:41" x14ac:dyDescent="0.25">
      <c r="A22" s="65" t="s">
        <v>288</v>
      </c>
      <c r="B22" s="50" t="s">
        <v>609</v>
      </c>
      <c r="C22" s="243">
        <f>SUMIF(Analytica!$B$17:$B$41,$A22,Analytica!$I$17:$I$41)</f>
        <v>11451.6721676383</v>
      </c>
      <c r="D22" s="269">
        <f>SUMIF(Analytica!$B$17:$B$41,$A22,Analytica!$V$17:$V$41)</f>
        <v>4.9995594866529798</v>
      </c>
      <c r="E22" s="112">
        <f t="shared" si="0"/>
        <v>1.7098493444353193</v>
      </c>
      <c r="F22" s="243">
        <f>SUMIF(Analytica!$B$17:$B$41,$A22,Analytica!$AH$17:$AH$41)*1000</f>
        <v>418162.08070848102</v>
      </c>
      <c r="G22" s="358">
        <f t="shared" si="1"/>
        <v>4.788655061211033</v>
      </c>
      <c r="H22" s="264">
        <f t="shared" si="2"/>
        <v>8187.8787171385593</v>
      </c>
      <c r="J22" s="243"/>
      <c r="L22" s="269"/>
      <c r="M22" s="112"/>
      <c r="N22" s="243">
        <f>SUMIF(Analytica!$B$17:$B$41,$I22,Analytica!$AH$17:$AH$41)*1000</f>
        <v>0</v>
      </c>
      <c r="O22" s="358"/>
      <c r="P22" s="264"/>
      <c r="Q22" s="274">
        <f>P22/$P$15</f>
        <v>0</v>
      </c>
      <c r="S22" s="273"/>
      <c r="AD22" s="86"/>
      <c r="AF22" s="354"/>
      <c r="AG22" s="355"/>
      <c r="AL22" s="356"/>
      <c r="AM22" s="357"/>
    </row>
    <row r="23" spans="1:41" x14ac:dyDescent="0.25">
      <c r="A23" s="65" t="s">
        <v>487</v>
      </c>
      <c r="B23" s="50" t="s">
        <v>138</v>
      </c>
      <c r="C23" s="243">
        <f>SUMIF(Analytica!$B$17:$B$41,$A23,Analytica!$I$17:$I$41)</f>
        <v>20965.008962084201</v>
      </c>
      <c r="D23" s="269">
        <f>SUMIF(Analytica!$B$17:$B$41,$A23,Analytica!$V$17:$V$41)</f>
        <v>14.5644836562465</v>
      </c>
      <c r="E23" s="112">
        <f t="shared" si="0"/>
        <v>4.9810534104363038</v>
      </c>
      <c r="F23" s="243">
        <f>SUMIF(Analytica!$B$17:$B$41,$A23,Analytica!$AH$17:$AH$41)*1000</f>
        <v>261566.46550238002</v>
      </c>
      <c r="G23" s="358">
        <f t="shared" si="1"/>
        <v>5.483743293438085</v>
      </c>
      <c r="H23" s="264">
        <f t="shared" si="2"/>
        <v>27314.818233736984</v>
      </c>
      <c r="I23" s="65" t="s">
        <v>486</v>
      </c>
      <c r="J23" s="243">
        <f>SUMIF(Analytica!$B$17:$B$41,$I23,Analytica!$I$17:$I$41)</f>
        <v>30917.830131483901</v>
      </c>
      <c r="L23" s="269">
        <f>SUMIF(Analytica!$B$17:$B$41,$I23,Analytica!$V$17:$V$41)</f>
        <v>11.0775109229247</v>
      </c>
      <c r="M23" s="112">
        <f>L23*E$8/100</f>
        <v>4.2205316616343111</v>
      </c>
      <c r="N23" s="243">
        <f>SUMIF(Analytica!$B$17:$B$41,$I23,Analytica!$AH$17:$AH$41)*1000</f>
        <v>22300.251189988197</v>
      </c>
      <c r="O23" s="358">
        <f>N23*J23/1000000000</f>
        <v>0.68947537818147686</v>
      </c>
      <c r="P23" s="264">
        <f>O23*M23*1000</f>
        <v>2909.9526635322136</v>
      </c>
      <c r="Q23" s="274">
        <f>P23/$P$15</f>
        <v>8.8468757316556117E-3</v>
      </c>
      <c r="S23" s="273"/>
      <c r="AD23" s="86"/>
      <c r="AF23" s="354"/>
      <c r="AG23" s="355"/>
      <c r="AL23" s="356"/>
      <c r="AM23" s="357"/>
    </row>
    <row r="24" spans="1:41" x14ac:dyDescent="0.25">
      <c r="B24" s="50" t="s">
        <v>139</v>
      </c>
      <c r="D24" s="275"/>
      <c r="F24" s="276"/>
      <c r="H24" s="264"/>
      <c r="I24" s="65" t="s">
        <v>468</v>
      </c>
      <c r="J24" s="243">
        <f>SUMIF(Analytica!$B$17:$B$41,$I24,Analytica!$I$17:$I$41)</f>
        <v>53296.583187381897</v>
      </c>
      <c r="L24" s="269">
        <f>SUMIF(Analytica!$B$17:$B$41,$I24,Analytica!$V$17:$V$41)</f>
        <v>40.788494972334703</v>
      </c>
      <c r="M24" s="112">
        <f>L24*E$8/100</f>
        <v>15.540416584459521</v>
      </c>
      <c r="N24" s="243">
        <f>SUMIF(Analytica!$B$17:$B$41,$I24,Analytica!$AH$17:$AH$41)*1000</f>
        <v>28126.256176370302</v>
      </c>
      <c r="O24" s="358">
        <f>N24*J24/1000000000</f>
        <v>1.4990333520535335</v>
      </c>
      <c r="P24" s="264">
        <f>O24*M24*1000</f>
        <v>23295.60276491068</v>
      </c>
      <c r="Q24" s="274">
        <f>P24/$P$15</f>
        <v>7.082359288450199E-2</v>
      </c>
      <c r="S24" s="273"/>
      <c r="AC24" s="359" t="s">
        <v>610</v>
      </c>
      <c r="AD24" s="86">
        <v>1</v>
      </c>
      <c r="AF24" s="354"/>
      <c r="AG24" s="355"/>
      <c r="AL24" s="356"/>
      <c r="AM24" s="357"/>
    </row>
    <row r="25" spans="1:41" x14ac:dyDescent="0.25">
      <c r="B25" s="50" t="s">
        <v>140</v>
      </c>
      <c r="H25" s="268"/>
      <c r="L25" s="248"/>
      <c r="M25" s="278">
        <f>+M24</f>
        <v>15.540416584459521</v>
      </c>
      <c r="N25" s="243">
        <f>SUMIF(Analytica!$B$17:$B$41,$I25,Analytica!$AH$17:$AH$41)*1000</f>
        <v>0</v>
      </c>
      <c r="O25" s="248"/>
      <c r="P25" s="264"/>
      <c r="Q25" s="267"/>
      <c r="S25" s="273"/>
      <c r="AC25" s="359" t="s">
        <v>611</v>
      </c>
      <c r="AD25" s="86">
        <v>257.91853130928132</v>
      </c>
      <c r="AF25" s="354"/>
      <c r="AG25" s="355"/>
      <c r="AL25" s="356"/>
      <c r="AM25" s="357"/>
    </row>
    <row r="26" spans="1:41" x14ac:dyDescent="0.25">
      <c r="B26" s="47" t="s">
        <v>141</v>
      </c>
      <c r="H26" s="268"/>
      <c r="K26" s="248"/>
      <c r="L26" s="248"/>
      <c r="M26" s="248"/>
      <c r="N26" s="243">
        <f>SUMIF(Analytica!$B$17:$B$41,$I26,Analytica!$AH$17:$AH$41)*1000</f>
        <v>0</v>
      </c>
      <c r="O26" s="248"/>
      <c r="P26" s="264"/>
      <c r="Q26" s="267"/>
      <c r="S26" s="273"/>
      <c r="AC26" s="359" t="s">
        <v>612</v>
      </c>
      <c r="AD26" s="279">
        <f>SUM(SOL!L16:L18)</f>
        <v>301</v>
      </c>
      <c r="AF26" s="354"/>
      <c r="AG26" s="355"/>
      <c r="AL26" s="356"/>
      <c r="AM26" s="357"/>
    </row>
    <row r="27" spans="1:41" x14ac:dyDescent="0.25">
      <c r="B27" s="50" t="s">
        <v>613</v>
      </c>
      <c r="H27" s="268"/>
      <c r="I27" s="65" t="s">
        <v>476</v>
      </c>
      <c r="J27" s="243">
        <f>SUMIF(Analytica!$B$17:$B$41,$I27,Analytica!$I$17:$I$41)</f>
        <v>30096.280108149898</v>
      </c>
      <c r="K27" s="248"/>
      <c r="L27" s="269">
        <f>SUMIF(Analytica!$B$17:$B$41,$I27,Analytica!$V$17:$V$41)</f>
        <v>19.237973630069799</v>
      </c>
      <c r="M27" s="280">
        <f t="shared" ref="M27:M36" si="3">L27*E$8/100</f>
        <v>7.3296679530565942</v>
      </c>
      <c r="N27" s="243">
        <f>SUMIF(Analytica!$B$17:$B$41,$I27,Analytica!$AH$17:$AH$41)*1000</f>
        <v>30241.706850963299</v>
      </c>
      <c r="O27" s="358">
        <f t="shared" ref="O27:O36" si="4">N27*J27/1000000000</f>
        <v>0.91016288033514725</v>
      </c>
      <c r="P27" s="264">
        <f t="shared" ref="P27:P36" si="5">O27*M27*1000</f>
        <v>6671.191696054213</v>
      </c>
      <c r="Q27" s="281">
        <v>7.6337179881330094E-3</v>
      </c>
      <c r="S27" s="273"/>
      <c r="U27" s="86"/>
      <c r="V27" s="65" t="s">
        <v>260</v>
      </c>
      <c r="W27" s="349">
        <f t="shared" ref="W27:W38" si="6">INDEX($AE$128:$AE$144,MATCH($V27,$A$128:$A$144,0))</f>
        <v>93.066081031435942</v>
      </c>
      <c r="X27" s="349">
        <f t="shared" ref="X27:X38" si="7">INDEX($AF$128:$AF$144,MATCH($V27,$A$128:$A$144,0))</f>
        <v>3.4069253967457311</v>
      </c>
      <c r="Y27" s="282">
        <v>0.5</v>
      </c>
      <c r="Z27" s="360">
        <v>5.0019999999999998</v>
      </c>
      <c r="AA27" s="86">
        <v>5.0037545528751481</v>
      </c>
      <c r="AB27" s="86">
        <v>5.8</v>
      </c>
      <c r="AC27" s="86">
        <f t="shared" ref="AC27:AC36" si="8">Z27*Y27</f>
        <v>2.5009999999999999</v>
      </c>
      <c r="AD27" s="86">
        <f t="shared" ref="AD27:AD36" si="9">Y27*Z27*O27*$AD$24</f>
        <v>2.2763173637182033</v>
      </c>
      <c r="AF27" s="354"/>
      <c r="AG27" s="355"/>
      <c r="AL27" s="356"/>
      <c r="AM27" s="357"/>
    </row>
    <row r="28" spans="1:41" x14ac:dyDescent="0.25">
      <c r="B28" s="50" t="s">
        <v>614</v>
      </c>
      <c r="H28" s="268"/>
      <c r="I28" s="65" t="s">
        <v>477</v>
      </c>
      <c r="J28" s="243">
        <f>SUMIF(Analytica!$B$17:$B$41,$I28,Analytica!$I$17:$I$41)</f>
        <v>54512.527353451602</v>
      </c>
      <c r="K28" s="248"/>
      <c r="L28" s="269">
        <f>SUMIF(Analytica!$B$17:$B$41,$I28,Analytica!$V$17:$V$41)</f>
        <v>22.0039654914689</v>
      </c>
      <c r="M28" s="280">
        <f t="shared" si="3"/>
        <v>8.3835108522496515</v>
      </c>
      <c r="N28" s="243">
        <f>SUMIF(Analytica!$B$17:$B$41,$I28,Analytica!$AH$17:$AH$41)*1000</f>
        <v>55810.791547743596</v>
      </c>
      <c r="O28" s="358">
        <f t="shared" si="4"/>
        <v>3.0423873008641582</v>
      </c>
      <c r="P28" s="264">
        <f t="shared" si="5"/>
        <v>25505.886953541198</v>
      </c>
      <c r="Q28" s="281">
        <v>5.526386346469829E-2</v>
      </c>
      <c r="S28" s="273"/>
      <c r="V28" s="65" t="s">
        <v>262</v>
      </c>
      <c r="W28" s="349">
        <f t="shared" si="6"/>
        <v>40.735527501009706</v>
      </c>
      <c r="X28" s="349">
        <f t="shared" si="7"/>
        <v>1.4912296902901276</v>
      </c>
      <c r="Y28" s="282">
        <v>0.54986773263798583</v>
      </c>
      <c r="Z28" s="360">
        <v>9.1059999999999999</v>
      </c>
      <c r="AA28" s="86">
        <v>9.6839451103036485</v>
      </c>
      <c r="AB28" s="86">
        <v>8</v>
      </c>
      <c r="AC28" s="86">
        <f t="shared" si="8"/>
        <v>5.0070955734014992</v>
      </c>
      <c r="AD28" s="86">
        <f t="shared" si="9"/>
        <v>15.233523986729862</v>
      </c>
      <c r="AF28" s="354"/>
      <c r="AG28" s="355"/>
      <c r="AL28" s="356"/>
      <c r="AM28" s="357"/>
    </row>
    <row r="29" spans="1:41" x14ac:dyDescent="0.25">
      <c r="B29" s="50" t="s">
        <v>615</v>
      </c>
      <c r="H29" s="268"/>
      <c r="I29" s="65" t="s">
        <v>478</v>
      </c>
      <c r="J29" s="243">
        <f>SUMIF(Analytica!$B$17:$B$41,$I29,Analytica!$I$17:$I$41)</f>
        <v>53608.118344618502</v>
      </c>
      <c r="K29" s="248"/>
      <c r="L29" s="269">
        <f>SUMIF(Analytica!$B$17:$B$41,$I29,Analytica!$V$17:$V$41)</f>
        <v>25.603686211102399</v>
      </c>
      <c r="M29" s="280">
        <f t="shared" si="3"/>
        <v>9.7550044464300143</v>
      </c>
      <c r="N29" s="243">
        <f>SUMIF(Analytica!$B$17:$B$41,$I29,Analytica!$AH$17:$AH$41)*1000</f>
        <v>11967.646306107399</v>
      </c>
      <c r="O29" s="358">
        <f t="shared" si="4"/>
        <v>0.64156299948434203</v>
      </c>
      <c r="P29" s="264">
        <f t="shared" si="5"/>
        <v>6258.4499126347337</v>
      </c>
      <c r="Q29" s="281">
        <v>2.1046341682691844E-2</v>
      </c>
      <c r="S29" s="273"/>
      <c r="V29" s="65" t="s">
        <v>264</v>
      </c>
      <c r="W29" s="349">
        <f t="shared" si="6"/>
        <v>28.173361998700738</v>
      </c>
      <c r="X29" s="349">
        <f t="shared" si="7"/>
        <v>1.0313590240537032</v>
      </c>
      <c r="Y29" s="282">
        <v>0.59995140001488945</v>
      </c>
      <c r="Z29" s="360">
        <v>13.2</v>
      </c>
      <c r="AA29" s="86">
        <v>14.221833213885624</v>
      </c>
      <c r="AB29" s="86">
        <v>14</v>
      </c>
      <c r="AC29" s="86">
        <f t="shared" si="8"/>
        <v>7.9193584801965402</v>
      </c>
      <c r="AD29" s="86">
        <f t="shared" si="9"/>
        <v>5.0807673805466527</v>
      </c>
      <c r="AF29" s="354"/>
      <c r="AG29" s="355"/>
      <c r="AL29" s="356"/>
      <c r="AM29" s="357"/>
    </row>
    <row r="30" spans="1:41" x14ac:dyDescent="0.25">
      <c r="B30" s="50" t="s">
        <v>616</v>
      </c>
      <c r="H30" s="268"/>
      <c r="I30" s="65" t="s">
        <v>479</v>
      </c>
      <c r="J30" s="243">
        <f>SUMIF(Analytica!$B$17:$B$41,$I30,Analytica!$I$17:$I$41)</f>
        <v>56756.7653972318</v>
      </c>
      <c r="K30" s="248"/>
      <c r="L30" s="269">
        <f>SUMIF(Analytica!$B$17:$B$41,$I30,Analytica!$V$17:$V$41)</f>
        <v>27.792076201905399</v>
      </c>
      <c r="M30" s="280">
        <f t="shared" si="3"/>
        <v>10.588781032925958</v>
      </c>
      <c r="N30" s="243">
        <f>SUMIF(Analytica!$B$17:$B$41,$I30,Analytica!$AH$17:$AH$41)*1000</f>
        <v>4956.7281421779198</v>
      </c>
      <c r="O30" s="358">
        <f t="shared" si="4"/>
        <v>0.28132785630344886</v>
      </c>
      <c r="P30" s="264">
        <f t="shared" si="5"/>
        <v>2978.9190688596786</v>
      </c>
      <c r="Q30" s="281">
        <v>1.6660499719710051E-2</v>
      </c>
      <c r="S30" s="273"/>
      <c r="V30" s="65" t="s">
        <v>266</v>
      </c>
      <c r="W30" s="349">
        <f t="shared" si="6"/>
        <v>23.920655666963356</v>
      </c>
      <c r="X30" s="349">
        <f t="shared" si="7"/>
        <v>0.875677673276684</v>
      </c>
      <c r="Y30" s="282">
        <v>0.64996627739340673</v>
      </c>
      <c r="Z30" s="360">
        <v>16.75</v>
      </c>
      <c r="AA30" s="86">
        <v>18.314778548002092</v>
      </c>
      <c r="AB30" s="86">
        <v>16.600000000000001</v>
      </c>
      <c r="AC30" s="86">
        <f t="shared" si="8"/>
        <v>10.886935146339562</v>
      </c>
      <c r="AD30" s="86">
        <f t="shared" si="9"/>
        <v>3.0627981264343833</v>
      </c>
      <c r="AF30" s="354"/>
      <c r="AG30" s="355"/>
      <c r="AL30" s="356"/>
      <c r="AM30" s="357"/>
    </row>
    <row r="31" spans="1:41" x14ac:dyDescent="0.25">
      <c r="B31" s="50" t="s">
        <v>617</v>
      </c>
      <c r="H31" s="268"/>
      <c r="I31" s="65" t="s">
        <v>480</v>
      </c>
      <c r="J31" s="243">
        <f>SUMIF(Analytica!$B$17:$B$41,$I31,Analytica!$I$17:$I$41)</f>
        <v>64512.330335483297</v>
      </c>
      <c r="K31" s="248"/>
      <c r="L31" s="269">
        <f>SUMIF(Analytica!$B$17:$B$41,$I31,Analytica!$V$17:$V$41)</f>
        <v>40.292737614575302</v>
      </c>
      <c r="M31" s="280">
        <f t="shared" si="3"/>
        <v>15.35153303115319</v>
      </c>
      <c r="N31" s="243">
        <f>SUMIF(Analytica!$B$17:$B$41,$I31,Analytica!$AH$17:$AH$41)*1000</f>
        <v>79894.521429911198</v>
      </c>
      <c r="O31" s="358">
        <f t="shared" si="4"/>
        <v>5.15418175848178</v>
      </c>
      <c r="P31" s="264">
        <f t="shared" si="5"/>
        <v>79124.59151390029</v>
      </c>
      <c r="Q31" s="284">
        <v>0.53822909403188191</v>
      </c>
      <c r="S31" s="273"/>
      <c r="V31" s="65" t="s">
        <v>268</v>
      </c>
      <c r="W31" s="349">
        <f t="shared" si="6"/>
        <v>18.154750802717288</v>
      </c>
      <c r="X31" s="349">
        <f t="shared" si="7"/>
        <v>0.66460176356276468</v>
      </c>
      <c r="Y31" s="282">
        <v>0.7341397689947935</v>
      </c>
      <c r="Z31" s="360">
        <v>26.59</v>
      </c>
      <c r="AA31" s="86">
        <v>28.941919659289987</v>
      </c>
      <c r="AB31" s="86">
        <v>24.6</v>
      </c>
      <c r="AC31" s="86">
        <f t="shared" si="8"/>
        <v>19.520776457571557</v>
      </c>
      <c r="AD31" s="86">
        <f t="shared" si="9"/>
        <v>100.6136299290159</v>
      </c>
      <c r="AF31" s="354"/>
      <c r="AG31" s="355"/>
      <c r="AL31" s="356"/>
      <c r="AM31" s="357"/>
    </row>
    <row r="32" spans="1:41" x14ac:dyDescent="0.25">
      <c r="B32" s="50" t="s">
        <v>618</v>
      </c>
      <c r="H32" s="268"/>
      <c r="I32" s="65" t="s">
        <v>481</v>
      </c>
      <c r="J32" s="243">
        <f>SUMIF(Analytica!$B$17:$B$41,$I32,Analytica!$I$17:$I$41)</f>
        <v>92421.691229504097</v>
      </c>
      <c r="K32" s="248"/>
      <c r="L32" s="269">
        <f>SUMIF(Analytica!$B$17:$B$41,$I32,Analytica!$V$17:$V$41)</f>
        <v>37.3258316657572</v>
      </c>
      <c r="M32" s="280">
        <f t="shared" si="3"/>
        <v>14.221141864653493</v>
      </c>
      <c r="N32" s="243">
        <f>SUMIF(Analytica!$B$17:$B$41,$I32,Analytica!$AH$17:$AH$41)*1000</f>
        <v>21382.0110314224</v>
      </c>
      <c r="O32" s="358">
        <f t="shared" si="4"/>
        <v>1.9761616214119715</v>
      </c>
      <c r="P32" s="264">
        <f t="shared" si="5"/>
        <v>28103.274765583315</v>
      </c>
      <c r="Q32" s="281">
        <v>0.23444852820716061</v>
      </c>
      <c r="S32" s="273"/>
      <c r="V32" s="65" t="s">
        <v>271</v>
      </c>
      <c r="W32" s="349">
        <f t="shared" si="6"/>
        <v>20.546557556637548</v>
      </c>
      <c r="X32" s="349">
        <f t="shared" si="7"/>
        <v>0.75216005637716199</v>
      </c>
      <c r="Y32" s="282">
        <v>0.72960515894530087</v>
      </c>
      <c r="Z32" s="360">
        <v>24.52</v>
      </c>
      <c r="AA32" s="86">
        <v>27.051955519530388</v>
      </c>
      <c r="AB32" s="86">
        <v>24.5</v>
      </c>
      <c r="AC32" s="86">
        <f t="shared" si="8"/>
        <v>17.889918497338776</v>
      </c>
      <c r="AD32" s="86">
        <f t="shared" si="9"/>
        <v>35.353370344629013</v>
      </c>
      <c r="AF32" s="354"/>
      <c r="AG32" s="355"/>
      <c r="AL32" s="356"/>
      <c r="AM32" s="357"/>
    </row>
    <row r="33" spans="1:39" x14ac:dyDescent="0.25">
      <c r="B33" s="50" t="s">
        <v>619</v>
      </c>
      <c r="H33" s="268"/>
      <c r="I33" s="65" t="s">
        <v>482</v>
      </c>
      <c r="J33" s="243">
        <f>SUMIF(Analytica!$B$17:$B$41,$I33,Analytica!$I$17:$I$41)</f>
        <v>116959.183879244</v>
      </c>
      <c r="K33" s="248"/>
      <c r="L33" s="269">
        <f>SUMIF(Analytica!$B$17:$B$41,$I33,Analytica!$V$17:$V$41)</f>
        <v>37.932288748919603</v>
      </c>
      <c r="M33" s="280">
        <f t="shared" si="3"/>
        <v>14.45220201333837</v>
      </c>
      <c r="N33" s="243">
        <f>SUMIF(Analytica!$B$17:$B$41,$I33,Analytica!$AH$17:$AH$41)*1000</f>
        <v>604.49827068682805</v>
      </c>
      <c r="O33" s="358">
        <f t="shared" si="4"/>
        <v>7.0701624395945725E-2</v>
      </c>
      <c r="P33" s="264">
        <f t="shared" si="5"/>
        <v>1021.7941584413801</v>
      </c>
      <c r="Q33" s="281">
        <v>5.1152971048015888E-3</v>
      </c>
      <c r="S33" s="273"/>
      <c r="V33" s="65" t="s">
        <v>273</v>
      </c>
      <c r="W33" s="349">
        <f t="shared" si="6"/>
        <v>22.214710287564412</v>
      </c>
      <c r="X33" s="349">
        <f t="shared" si="7"/>
        <v>0.81322711584349738</v>
      </c>
      <c r="Y33" s="282">
        <v>0.72998711869911637</v>
      </c>
      <c r="Z33" s="360">
        <v>25.21</v>
      </c>
      <c r="AA33" s="86">
        <v>25.656235804837785</v>
      </c>
      <c r="AB33" s="86">
        <v>34.5</v>
      </c>
      <c r="AC33" s="86">
        <f t="shared" si="8"/>
        <v>18.402975262404723</v>
      </c>
      <c r="AD33" s="86">
        <f t="shared" si="9"/>
        <v>1.3011202447704195</v>
      </c>
      <c r="AF33" s="354"/>
      <c r="AG33" s="355"/>
      <c r="AL33" s="356"/>
      <c r="AM33" s="357"/>
    </row>
    <row r="34" spans="1:39" x14ac:dyDescent="0.25">
      <c r="B34" s="50" t="s">
        <v>620</v>
      </c>
      <c r="H34" s="268"/>
      <c r="I34" s="65" t="s">
        <v>483</v>
      </c>
      <c r="J34" s="243">
        <f>SUMIF(Analytica!$B$17:$B$41,$I34,Analytica!$I$17:$I$41)</f>
        <v>104002.58508794699</v>
      </c>
      <c r="K34" s="248"/>
      <c r="L34" s="269">
        <f>SUMIF(Analytica!$B$17:$B$41,$I34,Analytica!$V$17:$V$41)</f>
        <v>48.273056219283099</v>
      </c>
      <c r="M34" s="280">
        <f t="shared" si="3"/>
        <v>18.392034419546864</v>
      </c>
      <c r="N34" s="243">
        <f>SUMIF(Analytica!$B$17:$B$41,$I34,Analytica!$AH$17:$AH$41)*1000</f>
        <v>507.86196813704299</v>
      </c>
      <c r="O34" s="358">
        <f t="shared" si="4"/>
        <v>5.2818957554105039E-2</v>
      </c>
      <c r="P34" s="264">
        <f t="shared" si="5"/>
        <v>971.44808533968478</v>
      </c>
      <c r="Q34" s="281">
        <v>3.7027600148831102E-3</v>
      </c>
      <c r="S34" s="273"/>
      <c r="V34" s="65" t="s">
        <v>275</v>
      </c>
      <c r="W34" s="349">
        <f t="shared" si="6"/>
        <v>19.966286027180761</v>
      </c>
      <c r="X34" s="349">
        <f t="shared" si="7"/>
        <v>0.73091771127350336</v>
      </c>
      <c r="Y34" s="282">
        <v>0.72999057085957486</v>
      </c>
      <c r="Z34" s="360">
        <v>30.01</v>
      </c>
      <c r="AA34" s="86">
        <v>30.006771737132578</v>
      </c>
      <c r="AB34" s="86">
        <v>35.5</v>
      </c>
      <c r="AC34" s="86">
        <f t="shared" si="8"/>
        <v>21.907017031495844</v>
      </c>
      <c r="AD34" s="86">
        <f t="shared" si="9"/>
        <v>1.1571058027236352</v>
      </c>
      <c r="AF34" s="354"/>
      <c r="AG34" s="355"/>
      <c r="AL34" s="356"/>
      <c r="AM34" s="357"/>
    </row>
    <row r="35" spans="1:39" x14ac:dyDescent="0.25">
      <c r="A35" s="65" t="s">
        <v>475</v>
      </c>
      <c r="B35" s="50" t="s">
        <v>621</v>
      </c>
      <c r="C35" s="243">
        <f>SUMIF(Analytica!$B$17:$B$41,$A35,Analytica!$I$17:$I$41)</f>
        <v>17100.2801251579</v>
      </c>
      <c r="D35" s="269">
        <f>SUMIF(Analytica!$B$17:$B$41,$A35,Analytica!$V$17:$V$41)</f>
        <v>19.628700201694802</v>
      </c>
      <c r="E35" s="112">
        <f>D35*E$7/100</f>
        <v>6.7130154689796226</v>
      </c>
      <c r="F35" s="243">
        <f>SUMIF(Analytica!$B$17:$B$41,$A35,Analytica!$AH$17:$AH$41)*1000</f>
        <v>4066.1003460126599</v>
      </c>
      <c r="G35" s="358">
        <f>F35*C35/1000000000</f>
        <v>6.9531454933817946E-2</v>
      </c>
      <c r="H35" s="264">
        <f>G35*E35*1000</f>
        <v>466.76573255137936</v>
      </c>
      <c r="I35" s="65" t="s">
        <v>474</v>
      </c>
      <c r="J35" s="243">
        <f>SUMIF(Analytica!$B$17:$B$41,$I35,Analytica!$I$17:$I$41)</f>
        <v>30805.1279861556</v>
      </c>
      <c r="K35" s="248"/>
      <c r="L35" s="269">
        <f>SUMIF(Analytica!$B$17:$B$41,$I35,Analytica!$V$17:$V$41)</f>
        <v>15.4098612224773</v>
      </c>
      <c r="M35" s="280">
        <f t="shared" si="3"/>
        <v>5.8711571257638511</v>
      </c>
      <c r="N35" s="243">
        <f>SUMIF(Analytica!$B$17:$B$41,$I35,Analytica!$AH$17:$AH$41)*1000</f>
        <v>116591.50523022101</v>
      </c>
      <c r="O35" s="358">
        <f t="shared" si="4"/>
        <v>3.5916162407154881</v>
      </c>
      <c r="P35" s="264">
        <f t="shared" si="5"/>
        <v>21086.943284685913</v>
      </c>
      <c r="Q35" s="281">
        <v>2.5234364936981984E-2</v>
      </c>
      <c r="S35" s="273"/>
      <c r="V35" s="65" t="s">
        <v>254</v>
      </c>
      <c r="W35" s="349">
        <f t="shared" si="6"/>
        <v>95.130117920310354</v>
      </c>
      <c r="X35" s="349">
        <f t="shared" si="7"/>
        <v>3.4824848231080705</v>
      </c>
      <c r="Y35" s="282">
        <v>0.45</v>
      </c>
      <c r="Z35" s="360">
        <v>3.298</v>
      </c>
      <c r="AB35" s="86">
        <v>3.9</v>
      </c>
      <c r="AC35" s="86">
        <f t="shared" si="8"/>
        <v>1.4841</v>
      </c>
      <c r="AD35" s="86">
        <f t="shared" si="9"/>
        <v>5.3303176628458555</v>
      </c>
      <c r="AE35" s="279">
        <f>SOL!L16+SOL!L17</f>
        <v>152</v>
      </c>
      <c r="AF35" s="361">
        <f>P35/AD35/1000</f>
        <v>3.9560387613798609</v>
      </c>
      <c r="AG35" s="355"/>
      <c r="AL35" s="356"/>
      <c r="AM35" s="357"/>
    </row>
    <row r="36" spans="1:39" x14ac:dyDescent="0.25">
      <c r="A36" s="65" t="s">
        <v>485</v>
      </c>
      <c r="B36" s="50" t="s">
        <v>622</v>
      </c>
      <c r="C36" s="243">
        <f>SUMIF(Analytica!$B$17:$B$41,$A36,Analytica!$I$17:$I$41)</f>
        <v>16984.001252855</v>
      </c>
      <c r="D36" s="269">
        <f>SUMIF(Analytica!$B$17:$B$41,$A36,Analytica!$V$17:$V$41)</f>
        <v>14.176565003733501</v>
      </c>
      <c r="E36" s="112">
        <f>D36*E$7/100</f>
        <v>4.8483852312768576</v>
      </c>
      <c r="F36" s="243">
        <f>SUMIF(Analytica!$B$17:$B$41,$A36,Analytica!$AH$17:$AH$41)*1000</f>
        <v>1329802.4956093701</v>
      </c>
      <c r="G36" s="358">
        <f>F36*C36/1000000000</f>
        <v>22.585367251479248</v>
      </c>
      <c r="H36" s="264">
        <f>G36*E36*1000</f>
        <v>109502.56102503598</v>
      </c>
      <c r="I36" s="65" t="s">
        <v>484</v>
      </c>
      <c r="J36" s="243">
        <f>SUMIF(Analytica!$B$17:$B$41,$I36,Analytica!$I$17:$I$41)</f>
        <v>24753.4936084117</v>
      </c>
      <c r="K36" s="248"/>
      <c r="L36" s="269">
        <f>SUMIF(Analytica!$B$17:$B$41,$I36,Analytica!$V$17:$V$41)</f>
        <v>11.124053535325499</v>
      </c>
      <c r="M36" s="280">
        <f t="shared" si="3"/>
        <v>4.2382643969590159</v>
      </c>
      <c r="N36" s="243">
        <f>SUMIF(Analytica!$B$17:$B$41,$I36,Analytica!$AH$17:$AH$41)*1000</f>
        <v>845356.37012111</v>
      </c>
      <c r="O36" s="358">
        <f t="shared" si="4"/>
        <v>20.925523504623012</v>
      </c>
      <c r="P36" s="264">
        <f t="shared" si="5"/>
        <v>88687.901257372752</v>
      </c>
      <c r="Q36" s="281">
        <v>5.071250657497315E-2</v>
      </c>
      <c r="S36" s="273"/>
      <c r="V36" s="65" t="s">
        <v>623</v>
      </c>
      <c r="W36" s="349">
        <f t="shared" si="6"/>
        <v>240.68655559157969</v>
      </c>
      <c r="X36" s="349">
        <f t="shared" si="7"/>
        <v>8.8109559338082093</v>
      </c>
      <c r="Y36" s="282">
        <v>0.4</v>
      </c>
      <c r="Z36" s="360">
        <v>0.99460000000000004</v>
      </c>
      <c r="AB36" s="86">
        <v>1</v>
      </c>
      <c r="AC36" s="86">
        <f t="shared" si="8"/>
        <v>0.39784000000000003</v>
      </c>
      <c r="AD36" s="86">
        <f t="shared" si="9"/>
        <v>8.3250102710792202</v>
      </c>
      <c r="AE36" s="358"/>
      <c r="AF36" s="361">
        <f>P36/AD36/1000</f>
        <v>10.65318820872465</v>
      </c>
      <c r="AG36" s="355"/>
      <c r="AL36" s="356"/>
      <c r="AM36" s="357"/>
    </row>
    <row r="37" spans="1:39" x14ac:dyDescent="0.25">
      <c r="B37" s="34" t="s">
        <v>624</v>
      </c>
      <c r="D37" s="65" t="s">
        <v>87</v>
      </c>
      <c r="H37" s="268"/>
      <c r="K37" s="248"/>
      <c r="L37" s="248"/>
      <c r="M37" s="248"/>
      <c r="N37" s="248"/>
      <c r="O37" s="248"/>
      <c r="P37" s="256">
        <f>EB_2017!BL138</f>
        <v>6473.0170817620256</v>
      </c>
      <c r="Q37" s="249"/>
      <c r="S37" s="286">
        <v>11809.512000000001</v>
      </c>
      <c r="V37" s="65" t="s">
        <v>625</v>
      </c>
      <c r="W37" s="349" t="e">
        <f t="shared" si="6"/>
        <v>#DIV/0!</v>
      </c>
      <c r="X37" s="349" t="e">
        <f t="shared" si="7"/>
        <v>#DIV/0!</v>
      </c>
      <c r="Y37" s="282">
        <v>0.45</v>
      </c>
      <c r="Z37" s="360">
        <v>3.0019999999999998</v>
      </c>
      <c r="AD37" s="86">
        <f>Y37*Z37*G35</f>
        <v>9.3930042470094663E-2</v>
      </c>
      <c r="AE37" s="86">
        <f>SUM(AD35:AD36)</f>
        <v>13.655327933925076</v>
      </c>
      <c r="AF37" s="354"/>
      <c r="AG37" s="355"/>
      <c r="AL37" s="356"/>
      <c r="AM37" s="357"/>
    </row>
    <row r="38" spans="1:39" x14ac:dyDescent="0.25">
      <c r="B38" s="47" t="s">
        <v>135</v>
      </c>
      <c r="H38" s="268"/>
      <c r="K38" s="248"/>
      <c r="L38" s="248"/>
      <c r="M38" s="248"/>
      <c r="N38" s="248"/>
      <c r="O38" s="248"/>
      <c r="P38" s="268"/>
      <c r="Q38" s="248"/>
      <c r="S38" s="287">
        <f>S37-S41</f>
        <v>3380.0863680000002</v>
      </c>
      <c r="V38" s="65" t="s">
        <v>278</v>
      </c>
      <c r="W38" s="349" t="e">
        <f t="shared" si="6"/>
        <v>#DIV/0!</v>
      </c>
      <c r="X38" s="349" t="e">
        <f t="shared" si="7"/>
        <v>#DIV/0!</v>
      </c>
      <c r="Y38" s="282">
        <v>0.4</v>
      </c>
      <c r="Z38" s="362">
        <v>0.99590000000000001</v>
      </c>
      <c r="AD38" s="86">
        <f>Y38*Z38*G36</f>
        <v>8.9971068982992737</v>
      </c>
      <c r="AE38" s="63">
        <f>SUM(SOL!L16:L17)</f>
        <v>152</v>
      </c>
      <c r="AF38" s="354"/>
      <c r="AG38" s="355"/>
      <c r="AL38" s="356"/>
      <c r="AM38" s="357"/>
    </row>
    <row r="39" spans="1:39" x14ac:dyDescent="0.25">
      <c r="B39" s="50" t="s">
        <v>145</v>
      </c>
      <c r="H39" s="268"/>
      <c r="I39" s="248"/>
      <c r="J39" s="248"/>
      <c r="K39" s="248"/>
      <c r="L39" s="248"/>
      <c r="M39" s="248"/>
      <c r="N39" s="248"/>
      <c r="O39" s="248"/>
      <c r="P39" s="268"/>
      <c r="Q39" s="248"/>
      <c r="S39" s="289"/>
      <c r="AD39" s="86"/>
      <c r="AF39" s="354"/>
      <c r="AG39" s="355"/>
      <c r="AL39" s="356"/>
      <c r="AM39" s="357"/>
    </row>
    <row r="40" spans="1:39" x14ac:dyDescent="0.25">
      <c r="B40" s="50" t="s">
        <v>146</v>
      </c>
      <c r="H40" s="268"/>
      <c r="I40" s="248"/>
      <c r="J40" s="248"/>
      <c r="K40" s="248"/>
      <c r="L40" s="248"/>
      <c r="M40" s="248"/>
      <c r="N40" s="248"/>
      <c r="O40" s="248"/>
      <c r="P40" s="268"/>
      <c r="Q40" s="248"/>
      <c r="S40" s="289"/>
      <c r="AD40" s="86"/>
      <c r="AF40" s="354"/>
      <c r="AG40" s="355"/>
      <c r="AL40" s="356"/>
      <c r="AM40" s="357"/>
    </row>
    <row r="41" spans="1:39" ht="15.75" thickBot="1" x14ac:dyDescent="0.3">
      <c r="B41" s="47" t="s">
        <v>141</v>
      </c>
      <c r="H41" s="290"/>
      <c r="I41" s="248"/>
      <c r="J41" s="248"/>
      <c r="K41" s="248"/>
      <c r="L41" s="248"/>
      <c r="M41" s="248"/>
      <c r="N41" s="248"/>
      <c r="O41" s="248"/>
      <c r="P41" s="291">
        <f>P37</f>
        <v>6473.0170817620256</v>
      </c>
      <c r="Q41" s="292"/>
      <c r="S41" s="291">
        <f>EB_2017!BL137</f>
        <v>8429.4256320000004</v>
      </c>
      <c r="AC41" s="65" t="s">
        <v>626</v>
      </c>
      <c r="AD41" s="279">
        <f>AD42+AD44+AD43</f>
        <v>129.1</v>
      </c>
      <c r="AE41" s="363"/>
      <c r="AF41" s="294"/>
      <c r="AG41" s="295"/>
      <c r="AL41" s="364"/>
      <c r="AM41" s="297"/>
    </row>
    <row r="42" spans="1:39" x14ac:dyDescent="0.25">
      <c r="B42" s="50" t="s">
        <v>627</v>
      </c>
      <c r="H42" s="248"/>
      <c r="I42" s="248"/>
      <c r="J42" s="248"/>
      <c r="K42" s="248"/>
      <c r="L42" s="248"/>
      <c r="M42" s="248"/>
      <c r="N42" s="248"/>
      <c r="O42" s="248"/>
      <c r="P42" s="292">
        <f>$AE42*P$41</f>
        <v>2560.577144450077</v>
      </c>
      <c r="Q42" s="292"/>
      <c r="S42" s="292">
        <f>$AE42*S$41</f>
        <v>3334.4875104617199</v>
      </c>
      <c r="V42" s="298"/>
      <c r="W42" s="298"/>
      <c r="AD42" s="365">
        <f>SOL!L19</f>
        <v>22</v>
      </c>
      <c r="AE42" s="300">
        <f>1-SUM(AE43:AE44)</f>
        <v>0.39557707203718051</v>
      </c>
      <c r="AF42" s="301">
        <f>AD42/(9400/3290*S42/1000+P42/1000)</f>
        <v>1.8200342946332015</v>
      </c>
      <c r="AG42" s="301">
        <f>AF42*9400/3290</f>
        <v>5.2000979846662903</v>
      </c>
      <c r="AL42" s="86">
        <f>P42*AF42/1000</f>
        <v>4.6603382169530931</v>
      </c>
      <c r="AM42" s="86">
        <f>S42*AG42/1000</f>
        <v>17.339661783046903</v>
      </c>
    </row>
    <row r="43" spans="1:39" x14ac:dyDescent="0.25">
      <c r="B43" s="50" t="s">
        <v>628</v>
      </c>
      <c r="H43" s="248"/>
      <c r="I43" s="248"/>
      <c r="J43" s="248"/>
      <c r="K43" s="248"/>
      <c r="L43" s="248"/>
      <c r="M43" s="248"/>
      <c r="N43" s="248"/>
      <c r="O43" s="248"/>
      <c r="P43" s="292">
        <f>$AE43*P$41</f>
        <v>1258.5029337895187</v>
      </c>
      <c r="Q43" s="292"/>
      <c r="S43" s="292">
        <f>$AE43*S$41</f>
        <v>1638.8736124182806</v>
      </c>
      <c r="V43" s="298"/>
      <c r="W43" s="298"/>
      <c r="AD43" s="365">
        <f>SUM(SOL!L20:L21)</f>
        <v>25.1</v>
      </c>
      <c r="AE43" s="300">
        <f>AD43/$AD$41</f>
        <v>0.19442292796281954</v>
      </c>
      <c r="AF43" s="301">
        <f>AD43/(9400/3290*S43/1000+P43/1000)</f>
        <v>4.2248786996646812</v>
      </c>
      <c r="AG43" s="301">
        <f>AF43*9400/3290</f>
        <v>12.071081999041946</v>
      </c>
      <c r="AL43" s="86">
        <f>P43*AF43/1000</f>
        <v>5.3170222384328483</v>
      </c>
      <c r="AM43" s="86">
        <f>S43*AG43/1000</f>
        <v>19.782977761567153</v>
      </c>
    </row>
    <row r="44" spans="1:39" x14ac:dyDescent="0.25">
      <c r="B44" s="50" t="s">
        <v>629</v>
      </c>
      <c r="H44" s="248"/>
      <c r="I44" s="248"/>
      <c r="J44" s="248"/>
      <c r="K44" s="248"/>
      <c r="L44" s="248"/>
      <c r="M44" s="248"/>
      <c r="N44" s="248"/>
      <c r="O44" s="248"/>
      <c r="P44" s="292">
        <f>$AE44*P$41</f>
        <v>2653.9370035224301</v>
      </c>
      <c r="Q44" s="292"/>
      <c r="S44" s="292">
        <f>$AE44*S$41</f>
        <v>3456.0645091199999</v>
      </c>
      <c r="V44" s="298"/>
      <c r="W44" s="298"/>
      <c r="AD44" s="365">
        <f>SOL!L22</f>
        <v>82</v>
      </c>
      <c r="AE44" s="300">
        <v>0.41</v>
      </c>
      <c r="AF44" s="301">
        <f>AD44/(9400/3290*S44/1000+P44/1000)</f>
        <v>6.545125793438701</v>
      </c>
      <c r="AG44" s="301">
        <f>AF44*9400/3290</f>
        <v>18.700359409824859</v>
      </c>
      <c r="AL44" s="86">
        <f>P44*AF44/1000</f>
        <v>17.370351535916075</v>
      </c>
      <c r="AM44" s="86">
        <f>S44*AG44/1000</f>
        <v>64.629648464083928</v>
      </c>
    </row>
    <row r="45" spans="1:39" x14ac:dyDescent="0.25">
      <c r="U45" s="65" t="s">
        <v>630</v>
      </c>
      <c r="V45" s="65" t="s">
        <v>631</v>
      </c>
      <c r="W45" s="65" t="s">
        <v>606</v>
      </c>
      <c r="AD45" s="365">
        <f>SUM(AD27:AD41)</f>
        <v>315.92499805326253</v>
      </c>
      <c r="AE45" s="363"/>
      <c r="AI45" s="65" t="s">
        <v>87</v>
      </c>
    </row>
    <row r="46" spans="1:39" x14ac:dyDescent="0.25">
      <c r="F46" s="302">
        <f>SUM(F18:F44)</f>
        <v>7765377.5262135249</v>
      </c>
      <c r="G46" s="366" t="s">
        <v>87</v>
      </c>
      <c r="N46" s="302">
        <f>SUM(N18:N44)</f>
        <v>1732745.2097229683</v>
      </c>
      <c r="U46" s="304">
        <f>N46+F46</f>
        <v>9498122.7359364927</v>
      </c>
      <c r="V46" s="304">
        <v>7653045</v>
      </c>
      <c r="W46" s="305">
        <f>V46/U46-1</f>
        <v>-0.19425709555800685</v>
      </c>
      <c r="AC46" s="65" t="s">
        <v>632</v>
      </c>
      <c r="AD46" s="279">
        <f>SOL!L23</f>
        <v>430.1</v>
      </c>
      <c r="AE46" s="306">
        <f>1-AD45/AD46</f>
        <v>0.26546152510285392</v>
      </c>
    </row>
    <row r="47" spans="1:39" x14ac:dyDescent="0.25">
      <c r="AG47" s="63">
        <f>1/9.4</f>
        <v>0.10638297872340426</v>
      </c>
    </row>
    <row r="48" spans="1:39" x14ac:dyDescent="0.25">
      <c r="T48" s="65" t="s">
        <v>87</v>
      </c>
    </row>
    <row r="53" spans="11:14" x14ac:dyDescent="0.25">
      <c r="K53" s="18">
        <v>15.6991</v>
      </c>
      <c r="M53" s="65" t="s">
        <v>633</v>
      </c>
      <c r="N53" s="367">
        <v>13865</v>
      </c>
    </row>
    <row r="58" spans="11:14" x14ac:dyDescent="0.25">
      <c r="N58" s="65" t="s">
        <v>87</v>
      </c>
    </row>
    <row r="65" spans="5:15" x14ac:dyDescent="0.25">
      <c r="M65" s="65" t="s">
        <v>87</v>
      </c>
    </row>
    <row r="66" spans="5:15" ht="20.25" thickBot="1" x14ac:dyDescent="0.35">
      <c r="E66" s="368" t="s">
        <v>860</v>
      </c>
      <c r="F66" s="368"/>
    </row>
    <row r="67" spans="5:15" ht="15.75" thickTop="1" x14ac:dyDescent="0.25"/>
    <row r="69" spans="5:15" x14ac:dyDescent="0.25">
      <c r="F69" s="93" t="s">
        <v>634</v>
      </c>
      <c r="G69" s="93" t="s">
        <v>635</v>
      </c>
      <c r="H69" s="93" t="s">
        <v>636</v>
      </c>
      <c r="I69" s="93" t="s">
        <v>637</v>
      </c>
      <c r="J69" s="93" t="s">
        <v>638</v>
      </c>
      <c r="K69" s="93" t="s">
        <v>639</v>
      </c>
      <c r="L69" s="93" t="s">
        <v>640</v>
      </c>
      <c r="M69" s="93" t="s">
        <v>641</v>
      </c>
      <c r="N69" s="93" t="s">
        <v>642</v>
      </c>
      <c r="O69" s="93" t="s">
        <v>643</v>
      </c>
    </row>
    <row r="70" spans="5:15" x14ac:dyDescent="0.25">
      <c r="G70" s="65" t="s">
        <v>644</v>
      </c>
      <c r="H70" s="65" t="s">
        <v>600</v>
      </c>
      <c r="I70" s="369" t="s">
        <v>645</v>
      </c>
      <c r="J70" s="65" t="s">
        <v>646</v>
      </c>
      <c r="K70" s="65" t="s">
        <v>647</v>
      </c>
      <c r="L70" s="65" t="s">
        <v>648</v>
      </c>
      <c r="O70" s="65" t="s">
        <v>649</v>
      </c>
    </row>
    <row r="71" spans="5:15" x14ac:dyDescent="0.25">
      <c r="F71" s="65" t="s">
        <v>650</v>
      </c>
      <c r="G71" s="86">
        <f>(N24/1000000)</f>
        <v>2.8126256176370303E-2</v>
      </c>
      <c r="H71" s="86">
        <f>O24</f>
        <v>1.4990333520535335</v>
      </c>
      <c r="I71" s="86">
        <f>H71/G71</f>
        <v>53.296583187381891</v>
      </c>
      <c r="K71" s="309">
        <v>25</v>
      </c>
      <c r="L71" s="86">
        <f>K71*H71</f>
        <v>37.475833801338339</v>
      </c>
      <c r="M71" s="66">
        <f>L71/$L$75</f>
        <v>0.26826933952708937</v>
      </c>
      <c r="N71" s="66">
        <f>L71/L$81</f>
        <v>0.14171504320962261</v>
      </c>
      <c r="O71" s="66">
        <v>0.1</v>
      </c>
    </row>
    <row r="72" spans="5:15" x14ac:dyDescent="0.25">
      <c r="F72" s="65" t="s">
        <v>651</v>
      </c>
      <c r="G72" s="86">
        <f>(F23+N23)/1000000</f>
        <v>0.28386671669236818</v>
      </c>
      <c r="H72" s="86">
        <f>G23+O23</f>
        <v>6.1732186716195621</v>
      </c>
      <c r="I72" s="86">
        <f>H72/G72</f>
        <v>21.746891440991295</v>
      </c>
      <c r="K72" s="309">
        <v>14</v>
      </c>
      <c r="L72" s="86">
        <f>K72*H72</f>
        <v>86.425061402673862</v>
      </c>
      <c r="M72" s="66">
        <f>L72/$L$75</f>
        <v>0.61867053483024759</v>
      </c>
      <c r="N72" s="66">
        <f>L72/L$81</f>
        <v>0.32681677947447885</v>
      </c>
      <c r="O72" s="66">
        <v>0.4</v>
      </c>
    </row>
    <row r="73" spans="5:15" x14ac:dyDescent="0.25">
      <c r="F73" s="65" t="s">
        <v>652</v>
      </c>
      <c r="G73" s="86"/>
      <c r="L73" s="86">
        <f>EB_2017!BD82/1000*7</f>
        <v>15.793912511999995</v>
      </c>
      <c r="M73" s="66">
        <f>L73/$L$75</f>
        <v>0.11306012564266305</v>
      </c>
      <c r="N73" s="66">
        <f>L73/L$81</f>
        <v>5.9724755050203748E-2</v>
      </c>
      <c r="O73" s="66">
        <v>0.08</v>
      </c>
    </row>
    <row r="74" spans="5:15" x14ac:dyDescent="0.25">
      <c r="F74" s="65" t="s">
        <v>653</v>
      </c>
      <c r="G74" s="86"/>
      <c r="J74" s="86">
        <v>14.3</v>
      </c>
      <c r="K74" s="310">
        <v>0.8</v>
      </c>
      <c r="L74" s="86">
        <f>K74*J74</f>
        <v>11.440000000000001</v>
      </c>
      <c r="M74" s="66"/>
      <c r="O74" s="66">
        <v>0.01</v>
      </c>
    </row>
    <row r="75" spans="5:15" x14ac:dyDescent="0.25">
      <c r="F75" s="93" t="s">
        <v>654</v>
      </c>
      <c r="G75" s="86"/>
      <c r="L75" s="370">
        <f>SUM(L71:L73)</f>
        <v>139.69480771601221</v>
      </c>
    </row>
    <row r="76" spans="5:15" x14ac:dyDescent="0.25">
      <c r="F76" s="93" t="s">
        <v>655</v>
      </c>
      <c r="G76" s="86"/>
    </row>
    <row r="77" spans="5:15" x14ac:dyDescent="0.25">
      <c r="F77" s="65" t="s">
        <v>656</v>
      </c>
      <c r="G77" s="86">
        <f>(F20+N20)/1000000</f>
        <v>5.7623622660243647</v>
      </c>
      <c r="H77" s="86">
        <f>G20+O20</f>
        <v>75.582646350730698</v>
      </c>
      <c r="I77" s="86">
        <f>H77/G77</f>
        <v>13.116607887771268</v>
      </c>
      <c r="K77" s="312">
        <v>1.4</v>
      </c>
      <c r="L77" s="86">
        <f>K77*H77</f>
        <v>105.81570489102297</v>
      </c>
      <c r="M77" s="66">
        <f>L77/$L$80</f>
        <v>0.84822081428006812</v>
      </c>
      <c r="N77" s="66">
        <f>SUM(L77:L79)/L81</f>
        <v>0.47174342226569466</v>
      </c>
      <c r="O77" s="66">
        <v>0.4</v>
      </c>
    </row>
    <row r="78" spans="5:15" x14ac:dyDescent="0.25">
      <c r="F78" s="65" t="s">
        <v>657</v>
      </c>
      <c r="G78" s="86">
        <f>(F18+N18)/1000000</f>
        <v>0.50159262381706904</v>
      </c>
      <c r="H78" s="86">
        <f>G18+O18</f>
        <v>10.104161917855354</v>
      </c>
      <c r="I78" s="86">
        <f>H78/G78</f>
        <v>20.14415969868876</v>
      </c>
      <c r="K78" s="312">
        <v>1.4</v>
      </c>
      <c r="L78" s="86">
        <f>K78*H78</f>
        <v>14.145826684997495</v>
      </c>
      <c r="M78" s="66">
        <f>L78/$L$80</f>
        <v>0.113393230634059</v>
      </c>
    </row>
    <row r="79" spans="5:15" x14ac:dyDescent="0.25">
      <c r="F79" s="65" t="s">
        <v>658</v>
      </c>
      <c r="G79" s="86">
        <f>F22/1000000</f>
        <v>0.41816208070848104</v>
      </c>
      <c r="H79" s="86">
        <f>G22</f>
        <v>4.788655061211033</v>
      </c>
      <c r="I79" s="86">
        <f>H79/G79</f>
        <v>11.4516721676383</v>
      </c>
      <c r="K79" s="312">
        <v>1</v>
      </c>
      <c r="L79" s="86">
        <f>K79*H79</f>
        <v>4.788655061211033</v>
      </c>
      <c r="M79" s="66">
        <f>L79/$L$80</f>
        <v>3.8385955085872926E-2</v>
      </c>
    </row>
    <row r="80" spans="5:15" x14ac:dyDescent="0.25">
      <c r="G80" s="370">
        <f>SUM(G77:G79)</f>
        <v>6.6821169705499148</v>
      </c>
      <c r="H80" s="370">
        <f>SUM(H77:H79)</f>
        <v>90.47546332979708</v>
      </c>
      <c r="I80" s="86">
        <f>SUMPRODUCT(G77:G79,I77:I79)/G80</f>
        <v>13.539940071170479</v>
      </c>
      <c r="L80" s="370">
        <f>SUM(L77:L79)</f>
        <v>124.75018663723149</v>
      </c>
    </row>
    <row r="81" spans="5:24" x14ac:dyDescent="0.25">
      <c r="L81" s="86">
        <f>L80+L75</f>
        <v>264.44499435324371</v>
      </c>
    </row>
    <row r="82" spans="5:24" x14ac:dyDescent="0.25">
      <c r="H82" s="86">
        <f>H86*H85</f>
        <v>0.52046600191585757</v>
      </c>
      <c r="I82" s="86">
        <f>I86*I85</f>
        <v>8.2754094304621351</v>
      </c>
      <c r="J82" s="86">
        <f>J86*J85</f>
        <v>8.1586562462485777</v>
      </c>
    </row>
    <row r="83" spans="5:24" x14ac:dyDescent="0.25">
      <c r="F83" s="93" t="s">
        <v>659</v>
      </c>
      <c r="G83" s="93" t="s">
        <v>499</v>
      </c>
      <c r="H83" s="93" t="s">
        <v>660</v>
      </c>
      <c r="I83" s="93" t="s">
        <v>661</v>
      </c>
      <c r="J83" s="93" t="s">
        <v>662</v>
      </c>
      <c r="K83" s="93" t="s">
        <v>663</v>
      </c>
      <c r="L83" s="93" t="s">
        <v>664</v>
      </c>
      <c r="M83" s="93" t="s">
        <v>642</v>
      </c>
      <c r="N83" s="93" t="s">
        <v>501</v>
      </c>
    </row>
    <row r="84" spans="5:24" x14ac:dyDescent="0.25">
      <c r="F84" s="93" t="s">
        <v>665</v>
      </c>
      <c r="G84" s="65" t="s">
        <v>666</v>
      </c>
      <c r="H84" s="66">
        <v>0.5</v>
      </c>
      <c r="I84" s="66">
        <v>0.3</v>
      </c>
      <c r="J84" s="66">
        <v>0.2</v>
      </c>
      <c r="K84" s="313">
        <v>2012</v>
      </c>
    </row>
    <row r="85" spans="5:24" x14ac:dyDescent="0.25">
      <c r="E85" s="86">
        <f>SUM(H82:J82)</f>
        <v>16.954531678626573</v>
      </c>
      <c r="F85" s="93" t="s">
        <v>667</v>
      </c>
      <c r="G85" s="65" t="s">
        <v>668</v>
      </c>
      <c r="H85" s="86">
        <f>H84*$K$85</f>
        <v>26.023300095792877</v>
      </c>
      <c r="I85" s="86">
        <f>I84*$K$85</f>
        <v>15.613980057475725</v>
      </c>
      <c r="J85" s="86">
        <f>J84*$K$85</f>
        <v>10.409320038317151</v>
      </c>
      <c r="K85" s="86">
        <v>52.046600191585753</v>
      </c>
      <c r="L85" s="86">
        <f>SUM(H85:J85)</f>
        <v>52.046600191585753</v>
      </c>
      <c r="N85" s="65" t="s">
        <v>669</v>
      </c>
    </row>
    <row r="86" spans="5:24" x14ac:dyDescent="0.25">
      <c r="E86" s="66">
        <f>E85/SUM(H85:J85)</f>
        <v>0.3257567567567568</v>
      </c>
      <c r="F86" s="93" t="s">
        <v>670</v>
      </c>
      <c r="G86" s="65" t="s">
        <v>671</v>
      </c>
      <c r="H86" s="314">
        <v>0.02</v>
      </c>
      <c r="I86" s="314">
        <v>0.53</v>
      </c>
      <c r="J86" s="314">
        <v>0.78378378378378377</v>
      </c>
      <c r="L86" s="66">
        <f>SUMPRODUCT(H85:J85,H86:J86)/L85</f>
        <v>0.3257567567567568</v>
      </c>
      <c r="M86" s="314">
        <f>1-77%</f>
        <v>0.22999999999999998</v>
      </c>
      <c r="N86" s="65" t="s">
        <v>672</v>
      </c>
      <c r="U86" s="65">
        <v>25.9284</v>
      </c>
      <c r="V86" s="65">
        <v>15.557039999999999</v>
      </c>
      <c r="W86" s="65">
        <v>10.371360000000001</v>
      </c>
    </row>
    <row r="87" spans="5:24" x14ac:dyDescent="0.25">
      <c r="F87" s="93" t="s">
        <v>673</v>
      </c>
      <c r="G87" s="65" t="s">
        <v>674</v>
      </c>
      <c r="H87" s="315">
        <f>1/4</f>
        <v>0.25</v>
      </c>
      <c r="I87" s="315">
        <f>1.2/4</f>
        <v>0.3</v>
      </c>
      <c r="J87" s="315">
        <v>0.40039186287579059</v>
      </c>
    </row>
    <row r="88" spans="5:24" x14ac:dyDescent="0.25">
      <c r="F88" s="93" t="s">
        <v>675</v>
      </c>
      <c r="G88" s="65" t="s">
        <v>644</v>
      </c>
      <c r="H88" s="86">
        <f>H87*H86*H85</f>
        <v>0.13011650047896439</v>
      </c>
      <c r="I88" s="86">
        <f>I87*I86*I85</f>
        <v>2.4826228291386405</v>
      </c>
      <c r="J88" s="86">
        <f>J87*J86*J85</f>
        <v>3.2666595729986727</v>
      </c>
      <c r="K88" s="86">
        <f>M88-SUM(H88:J88)</f>
        <v>0.38455598722515649</v>
      </c>
      <c r="L88" s="86">
        <f>SUM(H88:K88)</f>
        <v>6.2639548898414334</v>
      </c>
      <c r="M88" s="86">
        <f>SUM(G77:G78)</f>
        <v>6.2639548898414334</v>
      </c>
      <c r="N88" s="66">
        <f>K88/M88</f>
        <v>6.1391883241178828E-2</v>
      </c>
    </row>
    <row r="89" spans="5:24" x14ac:dyDescent="0.25">
      <c r="F89" s="93" t="s">
        <v>676</v>
      </c>
      <c r="G89" s="65" t="s">
        <v>671</v>
      </c>
      <c r="H89" s="316">
        <f>H86*0.07/4</f>
        <v>3.5000000000000005E-4</v>
      </c>
      <c r="I89" s="316">
        <f>I86*0.07/4</f>
        <v>9.275000000000002E-3</v>
      </c>
      <c r="J89" s="316">
        <f>J86*0.07/4</f>
        <v>1.3716216216216217E-2</v>
      </c>
    </row>
    <row r="90" spans="5:24" x14ac:dyDescent="0.25">
      <c r="F90" s="93" t="s">
        <v>677</v>
      </c>
      <c r="G90" s="65" t="s">
        <v>678</v>
      </c>
      <c r="H90" s="86">
        <f>H89*H85</f>
        <v>9.1081550335275086E-3</v>
      </c>
      <c r="I90" s="86">
        <f>I89*I85</f>
        <v>0.14481966503308738</v>
      </c>
      <c r="J90" s="86">
        <f>J89*J85</f>
        <v>0.14277648430935011</v>
      </c>
      <c r="K90" s="86">
        <f>M90-SUM(H90:J90)</f>
        <v>0.12145777633251603</v>
      </c>
      <c r="L90" s="86">
        <f>SUM(H90:K90)</f>
        <v>0.41816208070848104</v>
      </c>
      <c r="M90" s="86">
        <f>G79</f>
        <v>0.41816208070848104</v>
      </c>
    </row>
    <row r="91" spans="5:24" x14ac:dyDescent="0.25">
      <c r="F91" s="93" t="s">
        <v>679</v>
      </c>
      <c r="H91" s="317">
        <v>0</v>
      </c>
      <c r="I91" s="317">
        <v>0.2</v>
      </c>
      <c r="J91" s="317">
        <v>0.3</v>
      </c>
    </row>
    <row r="92" spans="5:24" x14ac:dyDescent="0.25">
      <c r="F92" s="93" t="s">
        <v>680</v>
      </c>
      <c r="H92" s="318">
        <f>H89*(1-H91)+H86</f>
        <v>2.035E-2</v>
      </c>
      <c r="I92" s="318">
        <f>I89*(1-I91)+I86</f>
        <v>0.53742000000000001</v>
      </c>
      <c r="J92" s="318">
        <f>J89*(1-J91)+J86</f>
        <v>0.79338513513513509</v>
      </c>
      <c r="L92" s="86">
        <f>SUM(H94:J94)</f>
        <v>17.179439104703114</v>
      </c>
      <c r="W92" s="369"/>
      <c r="X92" s="358"/>
    </row>
    <row r="93" spans="5:24" x14ac:dyDescent="0.25">
      <c r="F93" s="93" t="s">
        <v>681</v>
      </c>
      <c r="G93" s="65" t="s">
        <v>682</v>
      </c>
      <c r="H93" s="86">
        <f>H87</f>
        <v>0.25</v>
      </c>
      <c r="I93" s="86">
        <f>(I90+I88)/(I92*I85)</f>
        <v>0.31311637080867849</v>
      </c>
      <c r="J93" s="86">
        <f>(J90+J88)/(J92*J85)</f>
        <v>0.41283463855351005</v>
      </c>
      <c r="W93" s="369"/>
      <c r="X93" s="358"/>
    </row>
    <row r="94" spans="5:24" x14ac:dyDescent="0.25">
      <c r="F94" s="93" t="s">
        <v>683</v>
      </c>
      <c r="G94" s="65" t="s">
        <v>684</v>
      </c>
      <c r="H94" s="86">
        <f>H92*H85</f>
        <v>0.52957415694938503</v>
      </c>
      <c r="I94" s="86">
        <f>I92*I85</f>
        <v>8.3912651624886045</v>
      </c>
      <c r="J94" s="86">
        <f>J92*J85</f>
        <v>8.2585997852651225</v>
      </c>
      <c r="L94" s="86">
        <f>SUM(H95:J95)</f>
        <v>34.867161086882646</v>
      </c>
    </row>
    <row r="95" spans="5:24" x14ac:dyDescent="0.25">
      <c r="F95" s="93" t="s">
        <v>685</v>
      </c>
      <c r="G95" s="65" t="s">
        <v>684</v>
      </c>
      <c r="H95" s="86">
        <f>H85-H94</f>
        <v>25.493725938843493</v>
      </c>
      <c r="I95" s="86">
        <f>I85-I94</f>
        <v>7.2227148949871207</v>
      </c>
      <c r="J95" s="86">
        <f>J85-J94</f>
        <v>2.1507202530520289</v>
      </c>
      <c r="L95" s="86"/>
      <c r="W95" s="369"/>
      <c r="X95" s="358"/>
    </row>
    <row r="96" spans="5:24" x14ac:dyDescent="0.25">
      <c r="F96" s="93" t="s">
        <v>686</v>
      </c>
      <c r="G96" s="65" t="s">
        <v>687</v>
      </c>
      <c r="H96" s="315">
        <v>1.1000000000000001</v>
      </c>
      <c r="I96" s="319">
        <f>H96</f>
        <v>1.1000000000000001</v>
      </c>
      <c r="J96" s="319">
        <f>I96</f>
        <v>1.1000000000000001</v>
      </c>
      <c r="L96" s="86"/>
      <c r="O96" s="86">
        <f>168/365</f>
        <v>0.46027397260273972</v>
      </c>
      <c r="P96" s="86">
        <f>H98/H97</f>
        <v>1.1000000000000001</v>
      </c>
    </row>
    <row r="97" spans="6:25" x14ac:dyDescent="0.25">
      <c r="F97" s="93" t="s">
        <v>688</v>
      </c>
      <c r="G97" s="65" t="s">
        <v>689</v>
      </c>
      <c r="H97" s="320">
        <v>300</v>
      </c>
      <c r="I97" s="321">
        <v>300</v>
      </c>
      <c r="J97" s="321">
        <v>300</v>
      </c>
      <c r="L97" s="86"/>
    </row>
    <row r="98" spans="6:25" x14ac:dyDescent="0.25">
      <c r="F98" s="93" t="s">
        <v>690</v>
      </c>
      <c r="G98" s="65" t="s">
        <v>691</v>
      </c>
      <c r="H98" s="55">
        <f>H96*H97</f>
        <v>330</v>
      </c>
      <c r="I98" s="55">
        <f>I96*I97</f>
        <v>330</v>
      </c>
      <c r="J98" s="55">
        <f>J96*J97</f>
        <v>330</v>
      </c>
      <c r="K98" s="55">
        <f>K96*K97</f>
        <v>0</v>
      </c>
      <c r="N98" s="86">
        <f>168/(1.1*365)</f>
        <v>0.41843088418430879</v>
      </c>
      <c r="O98" s="86">
        <f>1/N98</f>
        <v>2.3898809523809526</v>
      </c>
    </row>
    <row r="99" spans="6:25" x14ac:dyDescent="0.25">
      <c r="F99" s="93" t="s">
        <v>692</v>
      </c>
      <c r="G99" s="65" t="s">
        <v>693</v>
      </c>
      <c r="H99" s="371">
        <f>H98*H85</f>
        <v>8587.6890316116496</v>
      </c>
      <c r="I99" s="371">
        <f>I98*I85</f>
        <v>5152.6134189669892</v>
      </c>
      <c r="J99" s="371">
        <f>J98*J85</f>
        <v>3435.0756126446599</v>
      </c>
      <c r="L99" s="371">
        <f>SUM(H99:J99)</f>
        <v>17175.378063223299</v>
      </c>
      <c r="N99" s="86">
        <f>H98/365</f>
        <v>0.90410958904109584</v>
      </c>
      <c r="O99" s="86">
        <f>34/20.9</f>
        <v>1.6267942583732058</v>
      </c>
    </row>
    <row r="100" spans="6:25" x14ac:dyDescent="0.25">
      <c r="F100" s="93" t="s">
        <v>694</v>
      </c>
      <c r="G100" s="65" t="s">
        <v>225</v>
      </c>
      <c r="H100" s="317">
        <v>0.55000000000000004</v>
      </c>
      <c r="I100" s="324">
        <f t="shared" ref="I100:J102" si="10">H100</f>
        <v>0.55000000000000004</v>
      </c>
      <c r="J100" s="324">
        <f t="shared" si="10"/>
        <v>0.55000000000000004</v>
      </c>
      <c r="L100" s="86"/>
    </row>
    <row r="101" spans="6:25" x14ac:dyDescent="0.25">
      <c r="F101" s="93" t="s">
        <v>695</v>
      </c>
      <c r="G101" s="65" t="s">
        <v>696</v>
      </c>
      <c r="H101" s="325">
        <v>21.5</v>
      </c>
      <c r="I101" s="326">
        <f t="shared" si="10"/>
        <v>21.5</v>
      </c>
      <c r="J101" s="326">
        <f t="shared" si="10"/>
        <v>21.5</v>
      </c>
      <c r="L101" s="86"/>
    </row>
    <row r="102" spans="6:25" x14ac:dyDescent="0.25">
      <c r="F102" s="93" t="s">
        <v>697</v>
      </c>
      <c r="G102" s="65" t="s">
        <v>696</v>
      </c>
      <c r="H102" s="325">
        <v>33.5</v>
      </c>
      <c r="I102" s="326">
        <f t="shared" si="10"/>
        <v>33.5</v>
      </c>
      <c r="J102" s="326">
        <f t="shared" si="10"/>
        <v>33.5</v>
      </c>
      <c r="K102" s="326">
        <f>J102</f>
        <v>33.5</v>
      </c>
      <c r="L102" s="86"/>
    </row>
    <row r="103" spans="6:25" x14ac:dyDescent="0.25">
      <c r="F103" s="93" t="s">
        <v>698</v>
      </c>
      <c r="G103" s="369" t="s">
        <v>699</v>
      </c>
      <c r="H103" s="63">
        <f>H101*H98*(1-H100)/1000</f>
        <v>3.1927499999999998</v>
      </c>
      <c r="I103" s="63">
        <f>I101*I98*(1-I100)/1000</f>
        <v>3.1927499999999998</v>
      </c>
      <c r="J103" s="63">
        <f>J101*J98*(1-J100)/1000</f>
        <v>3.1927499999999998</v>
      </c>
      <c r="L103" s="86"/>
    </row>
    <row r="104" spans="6:25" x14ac:dyDescent="0.25">
      <c r="F104" s="93" t="s">
        <v>700</v>
      </c>
      <c r="G104" s="93"/>
      <c r="H104" s="327">
        <v>0.25</v>
      </c>
      <c r="I104" s="327">
        <v>0.52</v>
      </c>
      <c r="J104" s="327">
        <v>0.8</v>
      </c>
      <c r="L104" s="86"/>
    </row>
    <row r="105" spans="6:25" x14ac:dyDescent="0.25">
      <c r="F105" s="93" t="s">
        <v>701</v>
      </c>
      <c r="G105" s="369" t="s">
        <v>699</v>
      </c>
      <c r="H105" s="86">
        <f>(1-H104)*H101*H98*(1-H100)/1000</f>
        <v>2.3945624999999997</v>
      </c>
      <c r="I105" s="86">
        <f>(1-I104)*I101*I98*(1-I100)/1000</f>
        <v>1.5325199999999997</v>
      </c>
      <c r="J105" s="86">
        <f>(1-J104)*J101*J98*(1-J100)/1000</f>
        <v>0.63854999999999973</v>
      </c>
      <c r="Q105" s="86"/>
      <c r="U105" s="372"/>
    </row>
    <row r="106" spans="6:25" x14ac:dyDescent="0.25">
      <c r="F106" s="93" t="s">
        <v>702</v>
      </c>
      <c r="G106" s="65" t="s">
        <v>648</v>
      </c>
      <c r="H106" s="86">
        <f>H103*H95+H105*H94</f>
        <v>82.66319190844267</v>
      </c>
      <c r="I106" s="86">
        <f>I103*I95+I105*I94</f>
        <v>35.920104667787157</v>
      </c>
      <c r="J106" s="86">
        <f>J103*J95+J105*J94</f>
        <v>12.140240980812905</v>
      </c>
      <c r="L106" s="372">
        <f>SUM(H106:K106)</f>
        <v>130.72353755704273</v>
      </c>
      <c r="M106" s="372">
        <f>L75</f>
        <v>139.69480771601221</v>
      </c>
      <c r="N106" s="329">
        <f>L106/M106-1</f>
        <v>-6.4220498282279159E-2</v>
      </c>
      <c r="Q106" s="86"/>
    </row>
    <row r="107" spans="6:25" x14ac:dyDescent="0.25">
      <c r="F107" s="93" t="s">
        <v>703</v>
      </c>
      <c r="G107" s="369" t="s">
        <v>699</v>
      </c>
      <c r="H107" s="86">
        <f>H104*H102*H98/1000</f>
        <v>2.7637499999999999</v>
      </c>
      <c r="I107" s="86">
        <f>I104*I102*I98/1000</f>
        <v>5.7486000000000006</v>
      </c>
      <c r="J107" s="86">
        <f>J104*J102*J98/1000</f>
        <v>8.8439999999999994</v>
      </c>
      <c r="K107" s="86">
        <f>K109+K112</f>
        <v>12.095818031648825</v>
      </c>
      <c r="M107" s="86"/>
      <c r="P107" s="86"/>
    </row>
    <row r="108" spans="6:25" x14ac:dyDescent="0.25">
      <c r="F108" s="93" t="s">
        <v>704</v>
      </c>
      <c r="G108" s="65" t="s">
        <v>648</v>
      </c>
      <c r="H108" s="86">
        <f>H107*H94</f>
        <v>1.4636105762688629</v>
      </c>
      <c r="I108" s="86">
        <f>I107*I94</f>
        <v>48.238026913081995</v>
      </c>
      <c r="J108" s="86">
        <f>J107*J94</f>
        <v>73.03905650088474</v>
      </c>
      <c r="L108" s="86">
        <f>SUM(H108:K108)</f>
        <v>122.7406939902356</v>
      </c>
      <c r="M108" s="86">
        <f>L80</f>
        <v>124.75018663723149</v>
      </c>
      <c r="N108" s="329">
        <f>L108/M108-1</f>
        <v>-1.6108133391731227E-2</v>
      </c>
      <c r="P108" s="86"/>
      <c r="Q108" s="86"/>
      <c r="X108" s="66"/>
      <c r="Y108" s="66"/>
    </row>
    <row r="109" spans="6:25" x14ac:dyDescent="0.25">
      <c r="F109" s="93" t="s">
        <v>705</v>
      </c>
      <c r="G109" s="65" t="s">
        <v>648</v>
      </c>
      <c r="H109" s="330">
        <f>H90*H110/(H90*$H$110+H88*$H$113)*H108*H104*(1-H91)</f>
        <v>1.9075493292603669E-2</v>
      </c>
      <c r="I109" s="330">
        <f>I90*I110/(I90*$I$110+I88*$I$113)*I108*I104*(1-I91)</f>
        <v>0.87943112013650715</v>
      </c>
      <c r="J109" s="330">
        <f>J90*J110/(J90*$J$110+J88*$J$113)*J108*J104*(1-J91)</f>
        <v>1.3579905473731058</v>
      </c>
      <c r="K109" s="86">
        <f>M109-SUM(H109:J109)</f>
        <v>2.5321579004088166</v>
      </c>
      <c r="L109" s="86">
        <f>SUM(H109:K109)</f>
        <v>4.788655061211033</v>
      </c>
      <c r="M109" s="86">
        <f>L79</f>
        <v>4.788655061211033</v>
      </c>
      <c r="X109" s="66"/>
      <c r="Y109" s="66"/>
    </row>
    <row r="110" spans="6:25" x14ac:dyDescent="0.25">
      <c r="F110" s="93" t="s">
        <v>706</v>
      </c>
      <c r="G110" s="65" t="s">
        <v>647</v>
      </c>
      <c r="H110" s="331">
        <v>1.1000000000000001</v>
      </c>
      <c r="I110" s="332">
        <v>1.1000000000000001</v>
      </c>
      <c r="J110" s="332">
        <v>1.1000000000000001</v>
      </c>
      <c r="K110" s="86">
        <f>SUMPRODUCT(H110:J110,H109:J109)/SUM(H109:J109)</f>
        <v>1.1000000000000001</v>
      </c>
      <c r="L110" s="112">
        <f>SUMPRODUCT(H109:K109,H110:K110)/SUM(H109:K109)</f>
        <v>1.1000000000000001</v>
      </c>
      <c r="X110" s="66"/>
      <c r="Y110" s="66"/>
    </row>
    <row r="111" spans="6:25" x14ac:dyDescent="0.25">
      <c r="F111" s="93" t="s">
        <v>707</v>
      </c>
      <c r="G111" s="65" t="s">
        <v>600</v>
      </c>
      <c r="H111" s="86">
        <f>H109/H110</f>
        <v>1.7341357538730607E-2</v>
      </c>
      <c r="I111" s="86">
        <f>I109/I110</f>
        <v>0.79948283648773366</v>
      </c>
      <c r="J111" s="86">
        <f>J109/J110</f>
        <v>1.2345368612482779</v>
      </c>
      <c r="K111" s="86">
        <f>K109/K110</f>
        <v>2.3019617276443785</v>
      </c>
      <c r="L111" s="86">
        <f>SUM(H111:K111)</f>
        <v>4.3533227829191201</v>
      </c>
      <c r="M111" s="86">
        <f>H79</f>
        <v>4.788655061211033</v>
      </c>
      <c r="X111" s="66"/>
      <c r="Y111" s="66"/>
    </row>
    <row r="112" spans="6:25" x14ac:dyDescent="0.25">
      <c r="F112" s="93" t="s">
        <v>708</v>
      </c>
      <c r="G112" s="65" t="s">
        <v>648</v>
      </c>
      <c r="H112" s="86">
        <f>H108-H109</f>
        <v>1.4445350829762593</v>
      </c>
      <c r="I112" s="86">
        <f>I108-I109</f>
        <v>47.358595792945486</v>
      </c>
      <c r="J112" s="86">
        <f>J108-J109</f>
        <v>71.681065953511634</v>
      </c>
      <c r="K112" s="86">
        <f>K113*K114</f>
        <v>9.5636601312400096</v>
      </c>
      <c r="L112" s="86">
        <f>SUM(H112:K112)</f>
        <v>130.04785696067339</v>
      </c>
      <c r="M112" s="86">
        <f>SUM(L77:L78)</f>
        <v>119.96153157602046</v>
      </c>
      <c r="N112" s="329">
        <f>L112/M112-1</f>
        <v>8.4079664973776502E-2</v>
      </c>
      <c r="X112" s="66"/>
      <c r="Y112" s="66"/>
    </row>
    <row r="113" spans="1:33" x14ac:dyDescent="0.25">
      <c r="F113" s="93" t="s">
        <v>709</v>
      </c>
      <c r="G113" s="65" t="s">
        <v>647</v>
      </c>
      <c r="H113" s="315">
        <v>1.4</v>
      </c>
      <c r="I113" s="315">
        <v>1.4</v>
      </c>
      <c r="J113" s="315">
        <v>1.4</v>
      </c>
      <c r="K113" s="331">
        <v>1.4</v>
      </c>
      <c r="L113" s="112">
        <f>SUMPRODUCT(H112:K112,H113:K113)/SUM(H112:K112)</f>
        <v>1.4</v>
      </c>
      <c r="M113" s="86">
        <f>M108/M117</f>
        <v>1.3788289337905653</v>
      </c>
      <c r="X113" s="67"/>
      <c r="Y113" s="67"/>
    </row>
    <row r="114" spans="1:33" x14ac:dyDescent="0.25">
      <c r="F114" s="93" t="s">
        <v>710</v>
      </c>
      <c r="G114" s="65" t="s">
        <v>600</v>
      </c>
      <c r="H114" s="86">
        <f>H107*H94/H113</f>
        <v>1.0454361259063307</v>
      </c>
      <c r="I114" s="86">
        <f>I107*I94/I113</f>
        <v>34.455733509344284</v>
      </c>
      <c r="J114" s="86">
        <f>J107*J94/J113</f>
        <v>52.170754643489104</v>
      </c>
      <c r="K114" s="86">
        <f>K118*(K88+K90)</f>
        <v>6.8311858080285788</v>
      </c>
      <c r="L114" s="86">
        <f>SUM(H114:K114)</f>
        <v>94.503110086768288</v>
      </c>
      <c r="M114" s="86">
        <f>SUM(H77:H78)</f>
        <v>85.686808268586049</v>
      </c>
      <c r="N114" s="329">
        <f>L114/M114-1</f>
        <v>0.10288983796137519</v>
      </c>
    </row>
    <row r="115" spans="1:33" x14ac:dyDescent="0.25">
      <c r="F115" s="93" t="s">
        <v>711</v>
      </c>
      <c r="G115" s="65" t="s">
        <v>647</v>
      </c>
      <c r="H115" s="334">
        <f>(H113*H112+H110*H109)/(H112+H109)</f>
        <v>1.3960900473933651</v>
      </c>
      <c r="I115" s="334">
        <f>(I113*I112+I110*I109)/(I112+I109)</f>
        <v>1.3945306772908366</v>
      </c>
      <c r="J115" s="334">
        <f>(J113*J112+J110*J109)/(J112+J109)</f>
        <v>1.3944222011656597</v>
      </c>
      <c r="K115" s="334">
        <f>(K113*K112+K110*K109)/(K112+K109)</f>
        <v>1.3371975199912052</v>
      </c>
      <c r="L115" s="112">
        <f>SUMPRODUCT(H108:K108,H115:K115)/SUM(H108:K108)</f>
        <v>1.3944847211936529</v>
      </c>
      <c r="M115" s="86"/>
    </row>
    <row r="116" spans="1:33" x14ac:dyDescent="0.25">
      <c r="E116" s="93" t="s">
        <v>569</v>
      </c>
      <c r="F116" s="93" t="s">
        <v>712</v>
      </c>
      <c r="G116" s="65" t="s">
        <v>644</v>
      </c>
      <c r="H116" s="86">
        <f>H94*H93</f>
        <v>0.13239353923734626</v>
      </c>
      <c r="I116" s="86">
        <f>I94*I93</f>
        <v>2.6274424941717278</v>
      </c>
      <c r="J116" s="86">
        <f>J94*J93</f>
        <v>3.4094360573080227</v>
      </c>
      <c r="K116" s="86">
        <f>K88+K90</f>
        <v>0.50601376355767247</v>
      </c>
      <c r="L116" s="86">
        <f>SUM(H116:K116)</f>
        <v>6.6752858542747697</v>
      </c>
      <c r="M116" s="86">
        <f>G80</f>
        <v>6.6821169705499148</v>
      </c>
      <c r="N116" s="329">
        <f>L116/M116-1</f>
        <v>-1.0222982185513763E-3</v>
      </c>
    </row>
    <row r="117" spans="1:33" x14ac:dyDescent="0.25">
      <c r="F117" s="93" t="s">
        <v>713</v>
      </c>
      <c r="G117" s="65" t="str">
        <f>G114</f>
        <v>billion veh-km</v>
      </c>
      <c r="H117" s="86">
        <f>H114+H111</f>
        <v>1.0627774834450614</v>
      </c>
      <c r="I117" s="86">
        <f>I114+I111</f>
        <v>35.255216345832018</v>
      </c>
      <c r="J117" s="86">
        <f>J114+J111</f>
        <v>53.405291504737384</v>
      </c>
      <c r="K117" s="86">
        <f>K114+K111</f>
        <v>9.1331475356729577</v>
      </c>
      <c r="L117" s="86">
        <f>SUM(H117:K117)</f>
        <v>98.856432869687424</v>
      </c>
      <c r="M117" s="86">
        <f>H80</f>
        <v>90.47546332979708</v>
      </c>
      <c r="N117" s="329">
        <f>L117/M117-1</f>
        <v>9.2632513075289857E-2</v>
      </c>
    </row>
    <row r="118" spans="1:33" x14ac:dyDescent="0.25">
      <c r="F118" s="93" t="s">
        <v>714</v>
      </c>
      <c r="G118" s="369" t="s">
        <v>715</v>
      </c>
      <c r="H118" s="335">
        <f>H117/H116</f>
        <v>8.0274119837508469</v>
      </c>
      <c r="I118" s="335">
        <f>I117/I116</f>
        <v>13.418073439870216</v>
      </c>
      <c r="J118" s="335">
        <f>J117/J116</f>
        <v>15.663966300310799</v>
      </c>
      <c r="K118" s="315">
        <v>13.5</v>
      </c>
      <c r="L118" s="86">
        <f>SUMPRODUCT(H116:K116,H118:K118)/SUM(H116:K116)</f>
        <v>14.464469874381599</v>
      </c>
      <c r="M118" s="86">
        <f>I80</f>
        <v>13.539940071170479</v>
      </c>
      <c r="N118" s="329">
        <f>L118/M118-1</f>
        <v>6.8281676163371552E-2</v>
      </c>
    </row>
    <row r="120" spans="1:33" x14ac:dyDescent="0.25">
      <c r="F120" s="93" t="s">
        <v>716</v>
      </c>
      <c r="H120" s="66">
        <f>H118*1000*H115*H87/H102/H98</f>
        <v>0.25343713199549495</v>
      </c>
      <c r="I120" s="66">
        <f>I118*1000*I115*I87/I102/I98</f>
        <v>0.50778602556418995</v>
      </c>
      <c r="J120" s="66">
        <f>J118*1000*J115*J87/J102/J98</f>
        <v>0.79108386136424202</v>
      </c>
      <c r="M120" s="93" t="s">
        <v>717</v>
      </c>
      <c r="N120" s="336">
        <f>ABS(N118)+ABS(N117)+ABS(N116)+ABS(N108)+ABS(N106)</f>
        <v>0.24226511913122317</v>
      </c>
    </row>
    <row r="122" spans="1:33" x14ac:dyDescent="0.25">
      <c r="H122" s="86">
        <f>H104*H98*H102/H115/H87/1000</f>
        <v>7.9185436646015441</v>
      </c>
      <c r="I122" s="86">
        <f>I104*I98*I102/I115/I87/1000</f>
        <v>13.740823570282537</v>
      </c>
      <c r="J122" s="86">
        <f>J104*J98*J102/J115/J87/1000</f>
        <v>15.840511546574019</v>
      </c>
    </row>
    <row r="123" spans="1:33" x14ac:dyDescent="0.25">
      <c r="H123" s="86"/>
      <c r="I123" s="86"/>
      <c r="J123" s="86"/>
    </row>
    <row r="125" spans="1:33" s="86" customFormat="1" x14ac:dyDescent="0.25">
      <c r="A125" s="86" t="s">
        <v>718</v>
      </c>
    </row>
    <row r="126" spans="1:33" s="86" customFormat="1" x14ac:dyDescent="0.25">
      <c r="A126" s="86" t="s">
        <v>719</v>
      </c>
    </row>
    <row r="127" spans="1:33" s="86" customFormat="1" x14ac:dyDescent="0.25">
      <c r="A127" s="86" t="s">
        <v>251</v>
      </c>
      <c r="G127" s="86" t="s">
        <v>720</v>
      </c>
      <c r="H127" s="86" t="s">
        <v>721</v>
      </c>
      <c r="I127" s="86" t="s">
        <v>722</v>
      </c>
      <c r="J127" s="86" t="s">
        <v>723</v>
      </c>
      <c r="K127" s="86" t="s">
        <v>724</v>
      </c>
      <c r="O127" s="86" t="s">
        <v>725</v>
      </c>
      <c r="P127" s="86" t="s">
        <v>726</v>
      </c>
      <c r="R127" s="86" t="s">
        <v>627</v>
      </c>
      <c r="S127" s="86" t="s">
        <v>727</v>
      </c>
      <c r="T127" s="86" t="s">
        <v>728</v>
      </c>
      <c r="U127" s="86" t="s">
        <v>729</v>
      </c>
      <c r="V127" s="86" t="s">
        <v>730</v>
      </c>
      <c r="Y127" s="86" t="s">
        <v>731</v>
      </c>
      <c r="Z127" s="86" t="s">
        <v>176</v>
      </c>
      <c r="AA127" s="86" t="s">
        <v>732</v>
      </c>
      <c r="AB127" s="86" t="s">
        <v>733</v>
      </c>
      <c r="AC127" s="86" t="s">
        <v>734</v>
      </c>
      <c r="AD127" s="86" t="s">
        <v>735</v>
      </c>
      <c r="AE127" s="86" t="s">
        <v>590</v>
      </c>
      <c r="AF127" s="86" t="s">
        <v>591</v>
      </c>
      <c r="AG127" s="86" t="s">
        <v>736</v>
      </c>
    </row>
    <row r="128" spans="1:33" s="86" customFormat="1" x14ac:dyDescent="0.25">
      <c r="A128" s="86" t="s">
        <v>254</v>
      </c>
      <c r="B128" s="86" t="s">
        <v>737</v>
      </c>
      <c r="C128" s="86">
        <v>0.5</v>
      </c>
      <c r="D128" s="86">
        <v>0.5</v>
      </c>
      <c r="E128" s="86" t="s">
        <v>254</v>
      </c>
      <c r="F128" s="86">
        <v>3.9</v>
      </c>
      <c r="G128" s="86">
        <v>3.0355667278025416</v>
      </c>
      <c r="H128" s="86">
        <v>1.0970547891095882E-12</v>
      </c>
      <c r="I128" s="86">
        <v>1.0010789300259582</v>
      </c>
      <c r="J128" s="86">
        <v>-1.078930025958158E-3</v>
      </c>
      <c r="K128" s="86">
        <v>3.0388418918909661</v>
      </c>
      <c r="M128" s="86">
        <v>9.8300000672679744E-7</v>
      </c>
      <c r="O128" s="86">
        <v>7713310764.2773094</v>
      </c>
      <c r="P128" s="86">
        <v>2.5289067174718047E-2</v>
      </c>
      <c r="R128" s="86">
        <v>3.6539588609193346E-2</v>
      </c>
      <c r="S128" s="86">
        <v>0.92634177296793452</v>
      </c>
      <c r="T128" s="86">
        <v>3.7118638422872108E-2</v>
      </c>
      <c r="U128" s="86">
        <v>0</v>
      </c>
      <c r="V128" s="86">
        <v>0</v>
      </c>
      <c r="W128" s="86" t="s">
        <v>254</v>
      </c>
      <c r="X128" s="86" t="s">
        <v>737</v>
      </c>
      <c r="Y128" s="86">
        <v>733768162.56169963</v>
      </c>
      <c r="Z128" s="86">
        <v>26861487672.511841</v>
      </c>
      <c r="AA128" s="86">
        <v>95.130117920310354</v>
      </c>
      <c r="AB128" s="86">
        <v>3.4824848231080705</v>
      </c>
      <c r="AC128" s="86">
        <v>13.4912030561942</v>
      </c>
      <c r="AD128" s="86">
        <v>13.4912030561942</v>
      </c>
      <c r="AE128" s="86">
        <v>95.130117920310354</v>
      </c>
      <c r="AF128" s="86">
        <v>3.4824848231080705</v>
      </c>
      <c r="AG128" s="86">
        <v>733768162.56169963</v>
      </c>
    </row>
    <row r="129" spans="1:36" s="86" customFormat="1" x14ac:dyDescent="0.25">
      <c r="A129" s="86" t="s">
        <v>625</v>
      </c>
      <c r="B129" s="86" t="s">
        <v>737</v>
      </c>
      <c r="C129" s="86">
        <v>0.5</v>
      </c>
      <c r="D129" s="86">
        <v>0.5</v>
      </c>
      <c r="E129" s="86" t="s">
        <v>625</v>
      </c>
      <c r="F129" s="86">
        <v>3.9</v>
      </c>
      <c r="G129" s="86">
        <v>3.002352845392886</v>
      </c>
      <c r="H129" s="86">
        <v>0</v>
      </c>
      <c r="I129" s="86">
        <v>1.0000123376539252</v>
      </c>
      <c r="J129" s="86">
        <v>-1.2337653925165171E-5</v>
      </c>
      <c r="K129" s="86">
        <v>3.002389887383254</v>
      </c>
      <c r="O129" s="86">
        <v>74472877.127863243</v>
      </c>
      <c r="P129" s="86">
        <v>2.4416876876054601E-4</v>
      </c>
      <c r="R129" s="86">
        <v>7.7069747919213782E-2</v>
      </c>
      <c r="S129" s="86">
        <v>0.87124041416829812</v>
      </c>
      <c r="T129" s="86">
        <v>5.1689837912488157E-2</v>
      </c>
      <c r="U129" s="86">
        <v>0</v>
      </c>
      <c r="V129" s="86">
        <v>0</v>
      </c>
      <c r="W129" s="86" t="s">
        <v>625</v>
      </c>
      <c r="X129" s="86" t="s">
        <v>737</v>
      </c>
      <c r="Y129" s="86">
        <v>9399429.0356118884</v>
      </c>
      <c r="Z129" s="86">
        <v>321460473.01792663</v>
      </c>
      <c r="AA129" s="86">
        <v>126.21278239960989</v>
      </c>
      <c r="AB129" s="86">
        <v>4.3164771580666592</v>
      </c>
      <c r="AC129" s="86">
        <v>0</v>
      </c>
      <c r="AD129" s="86">
        <v>0</v>
      </c>
      <c r="AE129" s="86" t="e">
        <v>#DIV/0!</v>
      </c>
      <c r="AF129" s="86" t="e">
        <v>#DIV/0!</v>
      </c>
    </row>
    <row r="130" spans="1:36" s="86" customFormat="1" x14ac:dyDescent="0.25">
      <c r="A130" s="86" t="s">
        <v>260</v>
      </c>
      <c r="B130" s="86" t="s">
        <v>738</v>
      </c>
      <c r="C130" s="86">
        <v>0.5</v>
      </c>
      <c r="D130" s="86">
        <v>0.5</v>
      </c>
      <c r="E130" s="86" t="s">
        <v>260</v>
      </c>
      <c r="F130" s="86">
        <v>5.8</v>
      </c>
      <c r="G130" s="86">
        <v>5.0019131600143121</v>
      </c>
      <c r="H130" s="86">
        <v>8.0604572645448002E-14</v>
      </c>
      <c r="I130" s="86">
        <v>1.0003681377108975</v>
      </c>
      <c r="J130" s="86">
        <v>-3.6813771089749814E-4</v>
      </c>
      <c r="K130" s="86">
        <v>5.0037545528751481</v>
      </c>
      <c r="O130" s="86">
        <v>2335309103.054091</v>
      </c>
      <c r="P130" s="86">
        <v>7.6566069468353409E-3</v>
      </c>
      <c r="R130" s="86">
        <v>0.10111251877856173</v>
      </c>
      <c r="S130" s="86">
        <v>0.54179557226913244</v>
      </c>
      <c r="T130" s="86">
        <v>0.3570919089523058</v>
      </c>
      <c r="U130" s="86">
        <v>0</v>
      </c>
      <c r="V130" s="86">
        <v>0</v>
      </c>
      <c r="W130" s="86" t="s">
        <v>260</v>
      </c>
      <c r="X130" s="86" t="s">
        <v>738</v>
      </c>
      <c r="Y130" s="86">
        <v>209028493.24255449</v>
      </c>
      <c r="Z130" s="86">
        <v>7652030410.8540201</v>
      </c>
      <c r="AA130" s="86">
        <v>89.507848433935095</v>
      </c>
      <c r="AB130" s="86">
        <v>3.2766670591258267</v>
      </c>
      <c r="AC130" s="86">
        <v>21.158865224822598</v>
      </c>
      <c r="AD130" s="86">
        <v>22</v>
      </c>
      <c r="AE130" s="86">
        <v>93.066081031435942</v>
      </c>
      <c r="AF130" s="86">
        <v>3.4069253967457311</v>
      </c>
      <c r="AG130" s="86">
        <v>217338066.21828201</v>
      </c>
    </row>
    <row r="131" spans="1:36" s="86" customFormat="1" x14ac:dyDescent="0.25">
      <c r="A131" s="86" t="s">
        <v>262</v>
      </c>
      <c r="B131" s="86" t="s">
        <v>739</v>
      </c>
      <c r="C131" s="86">
        <v>0.65</v>
      </c>
      <c r="D131" s="86">
        <v>0.65</v>
      </c>
      <c r="E131" s="86" t="s">
        <v>262</v>
      </c>
      <c r="F131" s="86">
        <v>8</v>
      </c>
      <c r="G131" s="86">
        <v>7.0174047722484039</v>
      </c>
      <c r="H131" s="86">
        <v>15.95075286596904</v>
      </c>
      <c r="I131" s="86">
        <v>0.70150717177028066</v>
      </c>
      <c r="J131" s="86">
        <v>0.29849282822971934</v>
      </c>
      <c r="K131" s="86">
        <v>9.6839451103036485</v>
      </c>
      <c r="O131" s="86">
        <v>23945303971.656704</v>
      </c>
      <c r="P131" s="86">
        <v>7.8507714671989637E-2</v>
      </c>
      <c r="R131" s="86">
        <v>0.23507814969713323</v>
      </c>
      <c r="S131" s="86">
        <v>0.40568070742989493</v>
      </c>
      <c r="T131" s="86">
        <v>0.35924114287297182</v>
      </c>
      <c r="U131" s="86">
        <v>0</v>
      </c>
      <c r="V131" s="86">
        <v>0</v>
      </c>
      <c r="W131" s="86" t="s">
        <v>262</v>
      </c>
      <c r="X131" s="86" t="s">
        <v>739</v>
      </c>
      <c r="Y131" s="86">
        <v>875732183.43294716</v>
      </c>
      <c r="Z131" s="86">
        <v>32058449044.152954</v>
      </c>
      <c r="AA131" s="86">
        <v>36.572189038381957</v>
      </c>
      <c r="AB131" s="86">
        <v>1.3388198822658306</v>
      </c>
      <c r="AC131" s="86">
        <v>21.547101283993701</v>
      </c>
      <c r="AD131" s="86">
        <v>24</v>
      </c>
      <c r="AE131" s="86">
        <v>40.735527501009706</v>
      </c>
      <c r="AF131" s="86">
        <v>1.4912296902901276</v>
      </c>
      <c r="AG131" s="86">
        <v>975424588.45745862</v>
      </c>
    </row>
    <row r="132" spans="1:36" s="86" customFormat="1" x14ac:dyDescent="0.25">
      <c r="A132" s="86" t="s">
        <v>264</v>
      </c>
      <c r="B132" s="86" t="s">
        <v>740</v>
      </c>
      <c r="C132" s="86">
        <v>0.65</v>
      </c>
      <c r="D132" s="86">
        <v>0.75</v>
      </c>
      <c r="E132" s="86" t="s">
        <v>264</v>
      </c>
      <c r="F132" s="86">
        <v>12</v>
      </c>
      <c r="G132" s="86">
        <v>10.006540085902015</v>
      </c>
      <c r="H132" s="86">
        <v>20.552287996347783</v>
      </c>
      <c r="I132" s="86">
        <v>0.60028504722663822</v>
      </c>
      <c r="J132" s="86">
        <v>0.39971495277336178</v>
      </c>
      <c r="K132" s="86">
        <v>14.221833213885624</v>
      </c>
      <c r="O132" s="86">
        <v>8743636259.6859264</v>
      </c>
      <c r="P132" s="86">
        <v>2.8667119928133134E-2</v>
      </c>
      <c r="R132" s="86">
        <v>0.3809637338275485</v>
      </c>
      <c r="S132" s="86">
        <v>0.25008551731022072</v>
      </c>
      <c r="T132" s="86">
        <v>0.36895074886223078</v>
      </c>
      <c r="U132" s="86">
        <v>0</v>
      </c>
      <c r="V132" s="86">
        <v>0</v>
      </c>
      <c r="W132" s="86" t="s">
        <v>264</v>
      </c>
      <c r="X132" s="86" t="s">
        <v>740</v>
      </c>
      <c r="Y132" s="86">
        <v>218599201.17466688</v>
      </c>
      <c r="Z132" s="86">
        <v>8002391010.0903378</v>
      </c>
      <c r="AA132" s="86">
        <v>25.000948653657627</v>
      </c>
      <c r="AB132" s="86">
        <v>0.91522460134655526</v>
      </c>
      <c r="AC132" s="86">
        <v>24.847107786947699</v>
      </c>
      <c r="AD132" s="86">
        <v>28</v>
      </c>
      <c r="AE132" s="86">
        <v>28.173361998700738</v>
      </c>
      <c r="AF132" s="86">
        <v>1.0313590240537032</v>
      </c>
      <c r="AG132" s="86">
        <v>246337629.52909735</v>
      </c>
    </row>
    <row r="133" spans="1:36" s="86" customFormat="1" x14ac:dyDescent="0.25">
      <c r="A133" s="86" t="s">
        <v>266</v>
      </c>
      <c r="B133" s="86" t="s">
        <v>741</v>
      </c>
      <c r="C133" s="86">
        <v>0.5</v>
      </c>
      <c r="D133" s="86">
        <v>0.85</v>
      </c>
      <c r="E133" s="86" t="s">
        <v>266</v>
      </c>
      <c r="F133" s="86">
        <v>15</v>
      </c>
      <c r="G133" s="86">
        <v>11.503669238344788</v>
      </c>
      <c r="H133" s="86">
        <v>25.125261412200746</v>
      </c>
      <c r="I133" s="86">
        <v>0.4999770054245255</v>
      </c>
      <c r="J133" s="86">
        <v>0.5000229945754745</v>
      </c>
      <c r="K133" s="86">
        <v>18.314778548002092</v>
      </c>
      <c r="O133" s="86">
        <v>5886442359.1734123</v>
      </c>
      <c r="P133" s="86">
        <v>1.9299447512301775E-2</v>
      </c>
      <c r="R133" s="86">
        <v>0.53440078795287138</v>
      </c>
      <c r="S133" s="86">
        <v>8.9731478415269503E-2</v>
      </c>
      <c r="T133" s="86">
        <v>0.3758677336318591</v>
      </c>
      <c r="U133" s="86">
        <v>0</v>
      </c>
      <c r="V133" s="86">
        <v>0</v>
      </c>
      <c r="W133" s="86" t="s">
        <v>266</v>
      </c>
      <c r="X133" s="86" t="s">
        <v>741</v>
      </c>
      <c r="Y133" s="86">
        <v>125733116.74456032</v>
      </c>
      <c r="Z133" s="86">
        <v>4602787007.9147911</v>
      </c>
      <c r="AA133" s="86">
        <v>21.359780504538236</v>
      </c>
      <c r="AB133" s="86">
        <v>0.78193019264714669</v>
      </c>
      <c r="AC133" s="86">
        <v>31.2530027632701</v>
      </c>
      <c r="AD133" s="86">
        <v>35</v>
      </c>
      <c r="AE133" s="86">
        <v>23.920655666963356</v>
      </c>
      <c r="AF133" s="86">
        <v>0.875677673276684</v>
      </c>
      <c r="AG133" s="86">
        <v>140807560.77721462</v>
      </c>
    </row>
    <row r="134" spans="1:36" s="86" customFormat="1" x14ac:dyDescent="0.25">
      <c r="A134" s="86" t="s">
        <v>268</v>
      </c>
      <c r="B134" s="86" t="s">
        <v>742</v>
      </c>
      <c r="C134" s="86">
        <v>0.5</v>
      </c>
      <c r="D134" s="86">
        <v>0.87</v>
      </c>
      <c r="E134" s="86" t="s">
        <v>268</v>
      </c>
      <c r="F134" s="86">
        <v>20</v>
      </c>
      <c r="G134" s="86">
        <v>14.029036043839092</v>
      </c>
      <c r="H134" s="86">
        <v>30.60200876854233</v>
      </c>
      <c r="I134" s="86">
        <v>0.10016845721213673</v>
      </c>
      <c r="J134" s="86">
        <v>0.89983154278786326</v>
      </c>
      <c r="K134" s="86">
        <v>28.941919659289987</v>
      </c>
      <c r="L134" s="86" t="s">
        <v>743</v>
      </c>
      <c r="O134" s="86">
        <v>174004920276.4483</v>
      </c>
      <c r="P134" s="86">
        <v>0.57049719012777944</v>
      </c>
      <c r="R134" s="86">
        <v>0.5301751871753293</v>
      </c>
      <c r="S134" s="86">
        <v>0.14644761128723258</v>
      </c>
      <c r="T134" s="86">
        <v>0.3233772015374381</v>
      </c>
      <c r="U134" s="86">
        <v>0</v>
      </c>
      <c r="V134" s="86">
        <v>0</v>
      </c>
      <c r="W134" s="86" t="s">
        <v>268</v>
      </c>
      <c r="X134" s="86" t="s">
        <v>742</v>
      </c>
      <c r="Y134" s="86">
        <v>2185043746.8526764</v>
      </c>
      <c r="Z134" s="86">
        <v>79989196403.771408</v>
      </c>
      <c r="AA134" s="86">
        <v>12.557367592716421</v>
      </c>
      <c r="AB134" s="86">
        <v>0.45969502630551767</v>
      </c>
      <c r="AC134" s="86">
        <v>30.088294585756898</v>
      </c>
      <c r="AD134" s="86">
        <v>43.5</v>
      </c>
      <c r="AE134" s="86">
        <v>18.154750802717288</v>
      </c>
      <c r="AF134" s="86">
        <v>0.66460176356276468</v>
      </c>
      <c r="AG134" s="86">
        <v>3159015966.0656075</v>
      </c>
    </row>
    <row r="135" spans="1:36" s="86" customFormat="1" x14ac:dyDescent="0.25">
      <c r="A135" s="86" t="s">
        <v>271</v>
      </c>
      <c r="B135" s="86" t="s">
        <v>744</v>
      </c>
      <c r="C135" s="86">
        <v>0.75</v>
      </c>
      <c r="D135" s="86">
        <v>0.85</v>
      </c>
      <c r="E135" s="86" t="s">
        <v>271</v>
      </c>
      <c r="F135" s="86">
        <v>24</v>
      </c>
      <c r="G135" s="86">
        <v>19.086920079295641</v>
      </c>
      <c r="H135" s="86">
        <v>35.081846919456602</v>
      </c>
      <c r="I135" s="86">
        <v>0.50202739157045151</v>
      </c>
      <c r="J135" s="86">
        <v>0.49797260842954849</v>
      </c>
      <c r="K135" s="86">
        <v>27.051955519530388</v>
      </c>
      <c r="O135" s="86">
        <v>50867653124.971497</v>
      </c>
      <c r="P135" s="86">
        <v>0.16677604937886722</v>
      </c>
      <c r="R135" s="86">
        <v>0.55008264791311168</v>
      </c>
      <c r="S135" s="86">
        <v>0.18563305475193087</v>
      </c>
      <c r="T135" s="86">
        <v>0.26428429733495751</v>
      </c>
      <c r="U135" s="86">
        <v>0</v>
      </c>
      <c r="V135" s="86">
        <v>0</v>
      </c>
      <c r="W135" s="86" t="s">
        <v>271</v>
      </c>
      <c r="X135" s="86" t="s">
        <v>744</v>
      </c>
      <c r="Y135" s="86">
        <v>827313667.90893757</v>
      </c>
      <c r="Z135" s="86">
        <v>30285963640.413261</v>
      </c>
      <c r="AA135" s="86">
        <v>16.26404241368077</v>
      </c>
      <c r="AB135" s="86">
        <v>0.59538747671347836</v>
      </c>
      <c r="AC135" s="86">
        <v>35.620658428944502</v>
      </c>
      <c r="AD135" s="86">
        <v>45</v>
      </c>
      <c r="AE135" s="86">
        <v>20.546557556637548</v>
      </c>
      <c r="AF135" s="86">
        <v>0.75216005637716199</v>
      </c>
      <c r="AG135" s="86">
        <v>1045155162.7033007</v>
      </c>
    </row>
    <row r="136" spans="1:36" s="86" customFormat="1" x14ac:dyDescent="0.25">
      <c r="A136" s="86" t="s">
        <v>273</v>
      </c>
      <c r="B136" s="86" t="s">
        <v>745</v>
      </c>
      <c r="C136" s="86">
        <v>0.75</v>
      </c>
      <c r="D136" s="86">
        <v>0.85</v>
      </c>
      <c r="E136" s="86" t="s">
        <v>273</v>
      </c>
      <c r="F136" s="86">
        <v>30</v>
      </c>
      <c r="G136" s="86">
        <v>24.005748362009641</v>
      </c>
      <c r="H136" s="86">
        <v>35.001963623009949</v>
      </c>
      <c r="I136" s="86">
        <v>0.84990404392301788</v>
      </c>
      <c r="J136" s="86">
        <v>0.15009595607698212</v>
      </c>
      <c r="K136" s="86">
        <v>25.656235804837785</v>
      </c>
      <c r="O136" s="86">
        <v>1792667595.4558625</v>
      </c>
      <c r="P136" s="86">
        <v>5.8774879722703864E-3</v>
      </c>
      <c r="R136" s="86">
        <v>0.55000262944748535</v>
      </c>
      <c r="S136" s="86">
        <v>0.14787085381730897</v>
      </c>
      <c r="T136" s="86">
        <v>0.30212651673520563</v>
      </c>
      <c r="U136" s="86">
        <v>0</v>
      </c>
      <c r="V136" s="86">
        <v>0</v>
      </c>
      <c r="W136" s="86" t="s">
        <v>273</v>
      </c>
      <c r="X136" s="86" t="s">
        <v>745</v>
      </c>
      <c r="Y136" s="86">
        <v>34046994.752085246</v>
      </c>
      <c r="Z136" s="86">
        <v>1246378592.6965892</v>
      </c>
      <c r="AA136" s="86">
        <v>18.992363580615365</v>
      </c>
      <c r="AB136" s="86">
        <v>0.69526475284986899</v>
      </c>
      <c r="AC136" s="86">
        <v>40.182432124204396</v>
      </c>
      <c r="AD136" s="86">
        <v>47</v>
      </c>
      <c r="AE136" s="86">
        <v>22.214710287564412</v>
      </c>
      <c r="AF136" s="86">
        <v>0.81322711584349738</v>
      </c>
      <c r="AG136" s="86">
        <v>39823591.274956711</v>
      </c>
    </row>
    <row r="137" spans="1:36" s="86" customFormat="1" x14ac:dyDescent="0.25">
      <c r="A137" s="86" t="s">
        <v>275</v>
      </c>
      <c r="B137" s="86" t="s">
        <v>746</v>
      </c>
      <c r="C137" s="86">
        <v>0.75</v>
      </c>
      <c r="D137" s="86">
        <v>0.85</v>
      </c>
      <c r="E137" s="86" t="s">
        <v>275</v>
      </c>
      <c r="F137" s="86">
        <v>30</v>
      </c>
      <c r="G137" s="86">
        <v>30.006560720965478</v>
      </c>
      <c r="H137" s="86">
        <v>34.99995727897744</v>
      </c>
      <c r="I137" s="86">
        <v>0.99995774095555046</v>
      </c>
      <c r="J137" s="86">
        <v>4.2259044449544092E-5</v>
      </c>
      <c r="K137" s="86">
        <v>30.006771737132578</v>
      </c>
      <c r="O137" s="86">
        <v>1313297925.0172372</v>
      </c>
      <c r="P137" s="86">
        <v>4.3058137369485997E-3</v>
      </c>
      <c r="R137" s="86">
        <v>0.55000214258171842</v>
      </c>
      <c r="S137" s="86">
        <v>0.16858579107982288</v>
      </c>
      <c r="T137" s="86">
        <v>0.28141206633845872</v>
      </c>
      <c r="U137" s="86">
        <v>0</v>
      </c>
      <c r="V137" s="86">
        <v>0</v>
      </c>
      <c r="W137" s="86" t="s">
        <v>275</v>
      </c>
      <c r="X137" s="86" t="s">
        <v>746</v>
      </c>
      <c r="Y137" s="86">
        <v>26510943.980000682</v>
      </c>
      <c r="Z137" s="86">
        <v>970501898.60964537</v>
      </c>
      <c r="AA137" s="86">
        <v>20.186542196548984</v>
      </c>
      <c r="AB137" s="86">
        <v>0.73898075990404644</v>
      </c>
      <c r="AC137" s="86">
        <v>48.529507396382201</v>
      </c>
      <c r="AD137" s="86">
        <v>48</v>
      </c>
      <c r="AE137" s="86">
        <v>19.966286027180761</v>
      </c>
      <c r="AF137" s="86">
        <v>0.73091771127350336</v>
      </c>
      <c r="AG137" s="86">
        <v>26221682.009797148</v>
      </c>
    </row>
    <row r="138" spans="1:36" s="86" customFormat="1" x14ac:dyDescent="0.25">
      <c r="A138" s="86" t="s">
        <v>277</v>
      </c>
      <c r="C138" s="86">
        <v>0.75</v>
      </c>
      <c r="D138" s="86">
        <v>0.5</v>
      </c>
      <c r="E138" s="86" t="s">
        <v>277</v>
      </c>
      <c r="F138" s="86">
        <v>1</v>
      </c>
      <c r="G138" s="86">
        <v>0.99675711372231002</v>
      </c>
      <c r="H138" s="86">
        <v>0</v>
      </c>
      <c r="I138" s="86">
        <v>0.99700317936703742</v>
      </c>
      <c r="J138" s="86">
        <v>2.9968206329625824E-3</v>
      </c>
      <c r="K138" s="86">
        <v>0.99377001143785482</v>
      </c>
      <c r="O138" s="86">
        <v>15529599906.641813</v>
      </c>
      <c r="P138" s="86">
        <v>5.0915762016799322E-2</v>
      </c>
      <c r="R138" s="86">
        <v>0.55001852424691988</v>
      </c>
      <c r="S138" s="86">
        <v>0.17530343258222261</v>
      </c>
      <c r="T138" s="86">
        <v>0.27467804317085753</v>
      </c>
      <c r="U138" s="86">
        <v>0</v>
      </c>
      <c r="V138" s="86">
        <v>0</v>
      </c>
      <c r="W138" s="86" t="s">
        <v>277</v>
      </c>
      <c r="Y138" s="86">
        <v>3737765911.2449355</v>
      </c>
      <c r="Z138" s="86">
        <v>136830620447.09309</v>
      </c>
      <c r="AA138" s="86">
        <v>240.68655559157969</v>
      </c>
      <c r="AB138" s="86">
        <v>8.8109559338082093</v>
      </c>
      <c r="AC138" s="86">
        <v>11.1617867011679</v>
      </c>
      <c r="AD138" s="86">
        <v>11.1617867011679</v>
      </c>
      <c r="AE138" s="86">
        <v>240.68655559157969</v>
      </c>
      <c r="AF138" s="86">
        <v>8.8109559338082093</v>
      </c>
      <c r="AG138" s="86">
        <v>3737765911.2449355</v>
      </c>
    </row>
    <row r="139" spans="1:36" s="86" customFormat="1" x14ac:dyDescent="0.25">
      <c r="A139" s="86" t="s">
        <v>278</v>
      </c>
      <c r="C139" s="86">
        <v>0.75</v>
      </c>
      <c r="D139" s="86">
        <v>0.5</v>
      </c>
      <c r="E139" s="86" t="s">
        <v>278</v>
      </c>
      <c r="F139" s="86">
        <v>1</v>
      </c>
      <c r="G139" s="86">
        <v>0.99740834509187259</v>
      </c>
      <c r="H139" s="86">
        <v>8.6338799980859581E-12</v>
      </c>
      <c r="I139" s="86">
        <v>1.0016124871293839</v>
      </c>
      <c r="J139" s="86">
        <v>-1.6124871293838883E-3</v>
      </c>
      <c r="K139" s="86">
        <v>0.99901665321105948</v>
      </c>
      <c r="O139" s="86">
        <v>12793384853.490023</v>
      </c>
      <c r="P139" s="86">
        <v>4.1944734088805079E-2</v>
      </c>
      <c r="R139" s="86">
        <v>0.55001538296421815</v>
      </c>
      <c r="S139" s="86">
        <v>0.17266249151824548</v>
      </c>
      <c r="T139" s="86">
        <v>0.27732212551753643</v>
      </c>
      <c r="U139" s="86">
        <v>0</v>
      </c>
      <c r="V139" s="86">
        <v>0</v>
      </c>
      <c r="W139" s="86" t="s">
        <v>278</v>
      </c>
      <c r="Y139" s="86">
        <v>3770117359.2663445</v>
      </c>
      <c r="Z139" s="86">
        <v>128938013686.909</v>
      </c>
      <c r="AA139" s="86">
        <v>294.69271834168734</v>
      </c>
      <c r="AB139" s="86">
        <v>10.07849096728571</v>
      </c>
      <c r="AC139" s="86">
        <v>0</v>
      </c>
      <c r="AD139" s="86">
        <v>0</v>
      </c>
      <c r="AE139" s="86" t="e">
        <v>#DIV/0!</v>
      </c>
      <c r="AF139" s="86" t="e">
        <v>#DIV/0!</v>
      </c>
    </row>
    <row r="140" spans="1:36" s="86" customFormat="1" x14ac:dyDescent="0.25">
      <c r="A140" s="86" t="s">
        <v>280</v>
      </c>
      <c r="C140" s="86">
        <v>14</v>
      </c>
      <c r="E140" s="86" t="s">
        <v>280</v>
      </c>
      <c r="F140" s="86">
        <v>0</v>
      </c>
    </row>
    <row r="141" spans="1:36" s="86" customFormat="1" x14ac:dyDescent="0.25">
      <c r="A141" s="86" t="s">
        <v>281</v>
      </c>
      <c r="C141" s="86">
        <v>14</v>
      </c>
      <c r="E141" s="86" t="s">
        <v>281</v>
      </c>
      <c r="F141" s="86">
        <v>0</v>
      </c>
      <c r="N141" s="86" t="s">
        <v>747</v>
      </c>
      <c r="O141" s="86">
        <v>304.99999901699999</v>
      </c>
      <c r="R141" s="86">
        <v>153000234184.58224</v>
      </c>
      <c r="S141" s="86">
        <v>60000050609.986427</v>
      </c>
      <c r="T141" s="86">
        <v>92005459821.762955</v>
      </c>
      <c r="Z141" s="86">
        <v>457759280288.03491</v>
      </c>
      <c r="AB141" s="86">
        <v>1.5008501041421987</v>
      </c>
      <c r="AF141" s="86" t="s">
        <v>748</v>
      </c>
      <c r="AG141" s="86">
        <v>10321658320.84235</v>
      </c>
      <c r="AH141" s="86">
        <v>0.85012922894804366</v>
      </c>
    </row>
    <row r="142" spans="1:36" s="86" customFormat="1" x14ac:dyDescent="0.25">
      <c r="A142" s="86" t="s">
        <v>284</v>
      </c>
      <c r="C142" s="86">
        <v>1.4</v>
      </c>
      <c r="E142" s="86" t="s">
        <v>284</v>
      </c>
      <c r="F142" s="86">
        <v>0</v>
      </c>
      <c r="N142" s="86" t="s">
        <v>749</v>
      </c>
      <c r="O142" s="86">
        <v>305</v>
      </c>
      <c r="R142" s="86">
        <v>153000000000</v>
      </c>
      <c r="S142" s="86">
        <v>60000000000</v>
      </c>
      <c r="T142" s="86">
        <v>92000000000</v>
      </c>
      <c r="U142" s="86">
        <v>5.7446163316268919</v>
      </c>
      <c r="AF142" s="86" t="s">
        <v>750</v>
      </c>
      <c r="AG142" s="86">
        <v>12141281548</v>
      </c>
    </row>
    <row r="143" spans="1:36" s="86" customFormat="1" x14ac:dyDescent="0.25">
      <c r="A143" s="86" t="s">
        <v>285</v>
      </c>
      <c r="C143" s="86">
        <v>1.4</v>
      </c>
      <c r="E143" s="86" t="s">
        <v>285</v>
      </c>
      <c r="F143" s="86">
        <v>0</v>
      </c>
      <c r="N143" s="86" t="s">
        <v>606</v>
      </c>
      <c r="O143" s="86">
        <v>9.8300000672679744E-7</v>
      </c>
      <c r="R143" s="86">
        <v>2.3418458224487305E-4</v>
      </c>
      <c r="S143" s="86">
        <v>5.0609986427307129E-5</v>
      </c>
      <c r="T143" s="86">
        <v>5.4598217629547117E-3</v>
      </c>
      <c r="U143" s="86">
        <v>5.7455993316336187E-3</v>
      </c>
      <c r="AF143" s="86" t="s">
        <v>751</v>
      </c>
      <c r="AG143" s="86">
        <v>12141281548</v>
      </c>
    </row>
    <row r="144" spans="1:36" s="86" customFormat="1" x14ac:dyDescent="0.25">
      <c r="A144" s="86" t="s">
        <v>286</v>
      </c>
      <c r="C144" s="86">
        <v>1.4</v>
      </c>
      <c r="E144" s="86" t="s">
        <v>286</v>
      </c>
      <c r="F144" s="86">
        <v>0</v>
      </c>
      <c r="U144" s="86" t="s">
        <v>717</v>
      </c>
      <c r="AF144" s="86" t="s">
        <v>752</v>
      </c>
      <c r="AG144" s="86">
        <v>1002973097.9988334</v>
      </c>
      <c r="AH144" s="86">
        <v>8.2608503396748134E-2</v>
      </c>
      <c r="AI144" s="86">
        <v>36716.432903957299</v>
      </c>
      <c r="AJ144" s="86" t="s">
        <v>177</v>
      </c>
    </row>
    <row r="148" spans="1:21" x14ac:dyDescent="0.25">
      <c r="A148" s="65" t="s">
        <v>718</v>
      </c>
    </row>
    <row r="149" spans="1:21" x14ac:dyDescent="0.25">
      <c r="A149" s="65" t="s">
        <v>753</v>
      </c>
    </row>
    <row r="151" spans="1:21" x14ac:dyDescent="0.25">
      <c r="A151" s="65" t="s">
        <v>754</v>
      </c>
    </row>
    <row r="153" spans="1:21" x14ac:dyDescent="0.25">
      <c r="A153" s="65" t="s">
        <v>755</v>
      </c>
      <c r="C153" s="65" t="s">
        <v>756</v>
      </c>
      <c r="M153" s="65" t="s">
        <v>757</v>
      </c>
      <c r="Q153" s="65" t="s">
        <v>758</v>
      </c>
    </row>
    <row r="154" spans="1:21" s="86" customFormat="1" x14ac:dyDescent="0.25">
      <c r="A154" s="86" t="s">
        <v>759</v>
      </c>
      <c r="B154" s="86" t="s">
        <v>760</v>
      </c>
      <c r="C154" s="86" t="s">
        <v>761</v>
      </c>
      <c r="D154" s="86" t="s">
        <v>762</v>
      </c>
      <c r="E154" s="86" t="s">
        <v>763</v>
      </c>
      <c r="F154" s="86" t="s">
        <v>764</v>
      </c>
      <c r="G154" s="86" t="s">
        <v>765</v>
      </c>
      <c r="H154" s="86" t="s">
        <v>766</v>
      </c>
      <c r="I154" s="86" t="s">
        <v>767</v>
      </c>
      <c r="J154" s="86" t="s">
        <v>768</v>
      </c>
      <c r="K154" s="86" t="s">
        <v>769</v>
      </c>
      <c r="M154" s="86" t="s">
        <v>770</v>
      </c>
      <c r="N154" s="86" t="s">
        <v>771</v>
      </c>
      <c r="O154" s="86" t="s">
        <v>772</v>
      </c>
      <c r="Q154" s="86" t="s">
        <v>773</v>
      </c>
      <c r="R154" s="86" t="s">
        <v>774</v>
      </c>
      <c r="S154" s="86" t="s">
        <v>775</v>
      </c>
      <c r="T154" s="86" t="s">
        <v>776</v>
      </c>
      <c r="U154" s="86" t="s">
        <v>777</v>
      </c>
    </row>
    <row r="155" spans="1:21" s="86" customFormat="1" x14ac:dyDescent="0.25">
      <c r="A155" s="86" t="s">
        <v>254</v>
      </c>
      <c r="B155" s="86" t="s">
        <v>737</v>
      </c>
      <c r="C155" s="86">
        <v>0.45</v>
      </c>
      <c r="D155" s="86">
        <v>3.2981763061764506</v>
      </c>
      <c r="E155" s="86">
        <v>1.0970547891095882E-12</v>
      </c>
      <c r="F155" s="86">
        <v>1</v>
      </c>
      <c r="G155" s="86">
        <v>0</v>
      </c>
      <c r="H155" s="86">
        <v>50000</v>
      </c>
      <c r="I155" s="86">
        <v>3.8685954734390894E-3</v>
      </c>
      <c r="J155" s="86">
        <v>0.86696454840813486</v>
      </c>
      <c r="K155" s="86">
        <v>0.12916685611842604</v>
      </c>
      <c r="M155" s="86">
        <v>3.2981763061764506</v>
      </c>
      <c r="N155" s="86">
        <v>31568.109078917496</v>
      </c>
      <c r="O155" s="86">
        <v>139524.993162395</v>
      </c>
      <c r="Q155" s="86">
        <v>6537127562.2837496</v>
      </c>
      <c r="R155" s="86">
        <v>2.8300111095503962E-2</v>
      </c>
      <c r="S155" s="86">
        <v>25289502.096744824</v>
      </c>
      <c r="T155" s="86">
        <v>5667457844.9217024</v>
      </c>
      <c r="U155" s="86">
        <v>844380215.2653023</v>
      </c>
    </row>
    <row r="156" spans="1:21" s="86" customFormat="1" x14ac:dyDescent="0.25">
      <c r="A156" s="86" t="s">
        <v>625</v>
      </c>
      <c r="B156" s="86" t="s">
        <v>737</v>
      </c>
      <c r="C156" s="86">
        <v>0.45</v>
      </c>
      <c r="D156" s="86">
        <v>3.0023726993525175</v>
      </c>
      <c r="E156" s="86">
        <v>0</v>
      </c>
      <c r="F156" s="86">
        <v>1</v>
      </c>
      <c r="G156" s="86">
        <v>0</v>
      </c>
      <c r="H156" s="86">
        <v>50000</v>
      </c>
      <c r="I156" s="86">
        <v>7.7072740374069998E-2</v>
      </c>
      <c r="J156" s="86">
        <v>0.75017616598343162</v>
      </c>
      <c r="K156" s="86">
        <v>0.17275109364249841</v>
      </c>
      <c r="M156" s="86">
        <v>3.0023726993525175</v>
      </c>
      <c r="N156" s="86">
        <v>9074.6005105890636</v>
      </c>
      <c r="O156" s="86">
        <v>4104.1690902807704</v>
      </c>
      <c r="Q156" s="86">
        <v>50318753.785850018</v>
      </c>
      <c r="R156" s="86">
        <v>2.1783670408129249E-4</v>
      </c>
      <c r="S156" s="86">
        <v>3878204.2464835704</v>
      </c>
      <c r="T156" s="86">
        <v>37747929.792133249</v>
      </c>
      <c r="U156" s="86">
        <v>8692619.7472331971</v>
      </c>
    </row>
    <row r="157" spans="1:21" s="86" customFormat="1" x14ac:dyDescent="0.25">
      <c r="A157" s="86" t="s">
        <v>260</v>
      </c>
      <c r="B157" s="86" t="s">
        <v>738</v>
      </c>
      <c r="C157" s="86">
        <v>0.5</v>
      </c>
      <c r="D157" s="86">
        <v>5.0020104360317523</v>
      </c>
      <c r="E157" s="86">
        <v>8.0604572645448002E-14</v>
      </c>
      <c r="F157" s="86">
        <v>1</v>
      </c>
      <c r="G157" s="86">
        <v>0</v>
      </c>
      <c r="H157" s="86">
        <v>50000</v>
      </c>
      <c r="I157" s="86">
        <v>0.10122824182767125</v>
      </c>
      <c r="J157" s="86">
        <v>0.53662763757549392</v>
      </c>
      <c r="K157" s="86">
        <v>0.36214412059683487</v>
      </c>
      <c r="M157" s="86">
        <v>5.0020104360317523</v>
      </c>
      <c r="N157" s="86">
        <v>22972.685638265517</v>
      </c>
      <c r="O157" s="86">
        <v>35003.686180873003</v>
      </c>
      <c r="Q157" s="86">
        <v>2011130021.6692622</v>
      </c>
      <c r="R157" s="86">
        <v>8.7064544019483762E-3</v>
      </c>
      <c r="S157" s="86">
        <v>203583156.18042579</v>
      </c>
      <c r="T157" s="86">
        <v>1079227952.3855281</v>
      </c>
      <c r="U157" s="86">
        <v>728318913.10330844</v>
      </c>
    </row>
    <row r="158" spans="1:21" s="86" customFormat="1" x14ac:dyDescent="0.25">
      <c r="A158" s="86" t="s">
        <v>262</v>
      </c>
      <c r="B158" s="86" t="s">
        <v>739</v>
      </c>
      <c r="C158" s="86">
        <v>0.54986773263798583</v>
      </c>
      <c r="D158" s="86">
        <v>7.0207061713250694</v>
      </c>
      <c r="E158" s="86">
        <v>14</v>
      </c>
      <c r="F158" s="86">
        <v>0.70118990615773014</v>
      </c>
      <c r="G158" s="86">
        <v>0.29881009384226986</v>
      </c>
      <c r="H158" s="86">
        <v>85000</v>
      </c>
      <c r="I158" s="86">
        <v>0.23790927309693199</v>
      </c>
      <c r="J158" s="86">
        <v>0.63417427324530606</v>
      </c>
      <c r="K158" s="86">
        <v>0.12791645365776194</v>
      </c>
      <c r="M158" s="86">
        <v>9.1061896152241992</v>
      </c>
      <c r="N158" s="86">
        <v>51458.635743924307</v>
      </c>
      <c r="O158" s="86">
        <v>62900.8634208449</v>
      </c>
      <c r="Q158" s="86">
        <v>16207267472.028231</v>
      </c>
      <c r="R158" s="86">
        <v>7.0163457213111319E-2</v>
      </c>
      <c r="S158" s="86">
        <v>3855859223.1577868</v>
      </c>
      <c r="T158" s="86">
        <v>10278232070.365791</v>
      </c>
      <c r="U158" s="86">
        <v>2073176178.5046518</v>
      </c>
    </row>
    <row r="159" spans="1:21" s="86" customFormat="1" x14ac:dyDescent="0.25">
      <c r="A159" s="86" t="s">
        <v>264</v>
      </c>
      <c r="B159" s="86" t="s">
        <v>740</v>
      </c>
      <c r="C159" s="86">
        <v>0.59995140001488945</v>
      </c>
      <c r="D159" s="86">
        <v>10.00732466956296</v>
      </c>
      <c r="E159" s="86">
        <v>18</v>
      </c>
      <c r="F159" s="86">
        <v>0.60017205466215418</v>
      </c>
      <c r="G159" s="86">
        <v>0.39982794533784582</v>
      </c>
      <c r="H159" s="86">
        <v>85000</v>
      </c>
      <c r="I159" s="86">
        <v>0.38260924149435721</v>
      </c>
      <c r="J159" s="86">
        <v>0.4052037511225669</v>
      </c>
      <c r="K159" s="86">
        <v>0.21218700738307583</v>
      </c>
      <c r="M159" s="86">
        <v>13.203019624684089</v>
      </c>
      <c r="N159" s="86">
        <v>50656.062531720447</v>
      </c>
      <c r="O159" s="86">
        <v>13425.803690975799</v>
      </c>
      <c r="Q159" s="86">
        <v>5387174731.0586004</v>
      </c>
      <c r="R159" s="86">
        <v>2.3321809453353989E-2</v>
      </c>
      <c r="S159" s="86">
        <v>2061182837.6478989</v>
      </c>
      <c r="T159" s="86">
        <v>2182903408.9776506</v>
      </c>
      <c r="U159" s="86">
        <v>1143088484.4330509</v>
      </c>
    </row>
    <row r="160" spans="1:21" s="86" customFormat="1" x14ac:dyDescent="0.25">
      <c r="A160" s="86" t="s">
        <v>266</v>
      </c>
      <c r="B160" s="86" t="s">
        <v>741</v>
      </c>
      <c r="C160" s="86">
        <v>0.64996627739340673</v>
      </c>
      <c r="D160" s="86">
        <v>11.504785022781094</v>
      </c>
      <c r="E160" s="86">
        <v>22</v>
      </c>
      <c r="F160" s="86">
        <v>0.49991969972843614</v>
      </c>
      <c r="G160" s="86">
        <v>0.50008030027156392</v>
      </c>
      <c r="H160" s="86">
        <v>110000</v>
      </c>
      <c r="I160" s="86">
        <v>0.53643877869680989</v>
      </c>
      <c r="J160" s="86">
        <v>0.30850873226016629</v>
      </c>
      <c r="K160" s="86">
        <v>0.15505248904302382</v>
      </c>
      <c r="M160" s="86">
        <v>16.753235280003342</v>
      </c>
      <c r="N160" s="86">
        <v>62603.874056993533</v>
      </c>
      <c r="O160" s="86">
        <v>5827.4199799574699</v>
      </c>
      <c r="Q160" s="86">
        <v>3972528667.0479121</v>
      </c>
      <c r="R160" s="86">
        <v>1.7197614936590763E-2</v>
      </c>
      <c r="S160" s="86">
        <v>2131018426.489248</v>
      </c>
      <c r="T160" s="86">
        <v>1225559782.9381196</v>
      </c>
      <c r="U160" s="86">
        <v>615950457.62054443</v>
      </c>
    </row>
    <row r="161" spans="1:21" s="86" customFormat="1" x14ac:dyDescent="0.25">
      <c r="A161" s="86" t="s">
        <v>268</v>
      </c>
      <c r="B161" s="86" t="s">
        <v>742</v>
      </c>
      <c r="C161" s="86">
        <v>0.7341397689947935</v>
      </c>
      <c r="D161" s="86">
        <v>14.033105618759844</v>
      </c>
      <c r="E161" s="86">
        <v>28</v>
      </c>
      <c r="F161" s="86">
        <v>0.10129458505928959</v>
      </c>
      <c r="G161" s="86">
        <v>0.89870541494071043</v>
      </c>
      <c r="H161" s="86">
        <v>150000</v>
      </c>
      <c r="I161" s="86">
        <v>0.53760202796677636</v>
      </c>
      <c r="J161" s="86">
        <v>0.233592189299801</v>
      </c>
      <c r="K161" s="86">
        <v>0.22880578273342267</v>
      </c>
      <c r="M161" s="86">
        <v>26.585229229085353</v>
      </c>
      <c r="N161" s="86">
        <v>72592.585420324685</v>
      </c>
      <c r="O161" s="86">
        <v>98993.743732509305</v>
      </c>
      <c r="Q161" s="86">
        <v>140255265005.97067</v>
      </c>
      <c r="R161" s="86">
        <v>0.60718404889312927</v>
      </c>
      <c r="S161" s="86">
        <v>75401514900.227478</v>
      </c>
      <c r="T161" s="86">
        <v>32762534413.568455</v>
      </c>
      <c r="U161" s="86">
        <v>32091215692.174744</v>
      </c>
    </row>
    <row r="162" spans="1:21" s="86" customFormat="1" x14ac:dyDescent="0.25">
      <c r="A162" s="86" t="s">
        <v>271</v>
      </c>
      <c r="B162" s="86" t="s">
        <v>744</v>
      </c>
      <c r="C162" s="86">
        <v>0.72960515894530087</v>
      </c>
      <c r="D162" s="86">
        <v>19.09131733301863</v>
      </c>
      <c r="E162" s="86">
        <v>30</v>
      </c>
      <c r="F162" s="86">
        <v>0.50237487782858536</v>
      </c>
      <c r="G162" s="86">
        <v>0.49762512217141464</v>
      </c>
      <c r="H162" s="86">
        <v>150000</v>
      </c>
      <c r="I162" s="86">
        <v>0.56374359044700451</v>
      </c>
      <c r="J162" s="86">
        <v>0.15895161485620113</v>
      </c>
      <c r="K162" s="86">
        <v>0.27730479469679437</v>
      </c>
      <c r="M162" s="86">
        <v>24.519751877904426</v>
      </c>
      <c r="N162" s="86">
        <v>73232.150047230869</v>
      </c>
      <c r="O162" s="86">
        <v>24913.114734895498</v>
      </c>
      <c r="Q162" s="86">
        <v>32638769732.712681</v>
      </c>
      <c r="R162" s="86">
        <v>0.1412976572134769</v>
      </c>
      <c r="S162" s="86">
        <v>18399897236.892464</v>
      </c>
      <c r="T162" s="86">
        <v>5187985155.9343805</v>
      </c>
      <c r="U162" s="86">
        <v>9050887339.8858356</v>
      </c>
    </row>
    <row r="163" spans="1:21" s="86" customFormat="1" x14ac:dyDescent="0.25">
      <c r="A163" s="86" t="s">
        <v>273</v>
      </c>
      <c r="B163" s="86" t="s">
        <v>745</v>
      </c>
      <c r="C163" s="86">
        <v>0.72998711869911637</v>
      </c>
      <c r="D163" s="86">
        <v>24.007944477114311</v>
      </c>
      <c r="E163" s="86">
        <v>32</v>
      </c>
      <c r="F163" s="86">
        <v>0.84986650610823178</v>
      </c>
      <c r="G163" s="86">
        <v>0.15013349389176822</v>
      </c>
      <c r="H163" s="86">
        <v>150000</v>
      </c>
      <c r="I163" s="86">
        <v>0.57232240188198613</v>
      </c>
      <c r="J163" s="86">
        <v>0.14760686462719269</v>
      </c>
      <c r="K163" s="86">
        <v>0.28007073349082123</v>
      </c>
      <c r="M163" s="86">
        <v>25.207819696142142</v>
      </c>
      <c r="N163" s="86">
        <v>91295.903958272844</v>
      </c>
      <c r="O163" s="86">
        <v>816.15741958667297</v>
      </c>
      <c r="Q163" s="86">
        <v>1371120760.5230141</v>
      </c>
      <c r="R163" s="86">
        <v>5.9357675796366709E-3</v>
      </c>
      <c r="S163" s="86">
        <v>784723126.93278694</v>
      </c>
      <c r="T163" s="86">
        <v>202386836.48605403</v>
      </c>
      <c r="U163" s="86">
        <v>384010797.10417318</v>
      </c>
    </row>
    <row r="164" spans="1:21" s="86" customFormat="1" x14ac:dyDescent="0.25">
      <c r="A164" s="86" t="s">
        <v>275</v>
      </c>
      <c r="B164" s="86" t="s">
        <v>746</v>
      </c>
      <c r="C164" s="86">
        <v>0.72999057085957486</v>
      </c>
      <c r="D164" s="86">
        <v>30.009066444903269</v>
      </c>
      <c r="E164" s="86">
        <v>34</v>
      </c>
      <c r="F164" s="86">
        <v>1</v>
      </c>
      <c r="G164" s="86">
        <v>0</v>
      </c>
      <c r="H164" s="86">
        <v>150000</v>
      </c>
      <c r="I164" s="86">
        <v>0.57247453233973344</v>
      </c>
      <c r="J164" s="86">
        <v>0.16975255533555478</v>
      </c>
      <c r="K164" s="86">
        <v>0.25777291232471178</v>
      </c>
      <c r="M164" s="86">
        <v>30.009066444903269</v>
      </c>
      <c r="N164" s="86">
        <v>76261.104221226706</v>
      </c>
      <c r="O164" s="86">
        <v>512.41385411772399</v>
      </c>
      <c r="Q164" s="86">
        <v>856039270.35432398</v>
      </c>
      <c r="R164" s="86">
        <v>3.7059100074648306E-3</v>
      </c>
      <c r="S164" s="86">
        <v>490060680.96053827</v>
      </c>
      <c r="T164" s="86">
        <v>145314853.61023033</v>
      </c>
      <c r="U164" s="86">
        <v>220663735.78355539</v>
      </c>
    </row>
    <row r="165" spans="1:21" s="86" customFormat="1" x14ac:dyDescent="0.25">
      <c r="A165" s="86" t="s">
        <v>277</v>
      </c>
      <c r="B165" s="86" t="s">
        <v>778</v>
      </c>
      <c r="C165" s="86">
        <v>0.4</v>
      </c>
      <c r="D165" s="86">
        <v>0.99463517084489572</v>
      </c>
      <c r="E165" s="86">
        <v>0</v>
      </c>
      <c r="F165" s="86">
        <v>1</v>
      </c>
      <c r="G165" s="86">
        <v>0</v>
      </c>
      <c r="H165" s="86">
        <v>35000</v>
      </c>
      <c r="I165" s="86">
        <v>2.9728140673891562E-3</v>
      </c>
      <c r="J165" s="86">
        <v>0.84886618495394994</v>
      </c>
      <c r="K165" s="86">
        <v>0.14816100097866092</v>
      </c>
      <c r="M165" s="86">
        <v>0.99463517084489572</v>
      </c>
      <c r="N165" s="86">
        <v>28313.189667496667</v>
      </c>
      <c r="O165" s="86">
        <v>1095973.7314067199</v>
      </c>
      <c r="Q165" s="86">
        <v>12345615492.700348</v>
      </c>
      <c r="R165" s="86">
        <v>5.3445842483107034E-2</v>
      </c>
      <c r="S165" s="86">
        <v>36701219.4072771</v>
      </c>
      <c r="T165" s="86">
        <v>10479775524.196924</v>
      </c>
      <c r="U165" s="86">
        <v>1829138749.0961475</v>
      </c>
    </row>
    <row r="166" spans="1:21" s="86" customFormat="1" x14ac:dyDescent="0.25">
      <c r="A166" s="86" t="s">
        <v>278</v>
      </c>
      <c r="B166" s="86" t="s">
        <v>778</v>
      </c>
      <c r="C166" s="86">
        <v>0.4</v>
      </c>
      <c r="D166" s="86">
        <v>0.99592844357001542</v>
      </c>
      <c r="E166" s="86">
        <v>8.6338799980859581E-12</v>
      </c>
      <c r="F166" s="86">
        <v>1.0001263477248878</v>
      </c>
      <c r="G166" s="86">
        <v>-1.2634772488784307E-4</v>
      </c>
      <c r="H166" s="86">
        <v>28000</v>
      </c>
      <c r="I166" s="86">
        <v>1.8469978812611192E-3</v>
      </c>
      <c r="J166" s="86">
        <v>0.83037800414219365</v>
      </c>
      <c r="K166" s="86">
        <v>0.16777499797654527</v>
      </c>
      <c r="M166" s="86">
        <v>0.99605427686301051</v>
      </c>
      <c r="N166" s="86">
        <v>17268.327870789901</v>
      </c>
      <c r="O166" s="86">
        <v>1360543.33323679</v>
      </c>
      <c r="Q166" s="86">
        <v>9360642529.865469</v>
      </c>
      <c r="R166" s="86">
        <v>4.0523490018595648E-2</v>
      </c>
      <c r="S166" s="86">
        <v>17289086.919904243</v>
      </c>
      <c r="T166" s="86">
        <v>7772871661.4382229</v>
      </c>
      <c r="U166" s="86">
        <v>1570481781.5073426</v>
      </c>
    </row>
    <row r="167" spans="1:21" s="86" customFormat="1" x14ac:dyDescent="0.25">
      <c r="A167" s="86" t="s">
        <v>779</v>
      </c>
    </row>
    <row r="168" spans="1:21" x14ac:dyDescent="0.25">
      <c r="A168" s="65" t="s">
        <v>780</v>
      </c>
      <c r="Q168" s="65" t="s">
        <v>781</v>
      </c>
    </row>
    <row r="169" spans="1:21" x14ac:dyDescent="0.25">
      <c r="A169" s="65" t="s">
        <v>782</v>
      </c>
      <c r="P169" s="65" t="s">
        <v>783</v>
      </c>
      <c r="Q169" s="65">
        <v>230993000000.00009</v>
      </c>
      <c r="R169" s="65">
        <v>0.99999999999999989</v>
      </c>
      <c r="S169" s="65">
        <v>103410997601.15904</v>
      </c>
      <c r="T169" s="65">
        <v>77021997434.615189</v>
      </c>
      <c r="U169" s="65">
        <v>50560004964.225876</v>
      </c>
    </row>
    <row r="170" spans="1:21" x14ac:dyDescent="0.25">
      <c r="A170" s="65" t="s">
        <v>784</v>
      </c>
      <c r="P170" s="65" t="s">
        <v>785</v>
      </c>
      <c r="Q170" s="65">
        <v>230993000000</v>
      </c>
      <c r="S170" s="65">
        <v>103411000000.00002</v>
      </c>
      <c r="T170" s="65">
        <v>77021999999.999985</v>
      </c>
      <c r="U170" s="65">
        <v>50560000000</v>
      </c>
    </row>
    <row r="171" spans="1:21" x14ac:dyDescent="0.25">
      <c r="P171" s="65" t="s">
        <v>786</v>
      </c>
      <c r="Q171" s="65">
        <v>0</v>
      </c>
      <c r="S171" s="65">
        <v>2.3197154752629956E-8</v>
      </c>
      <c r="T171" s="65">
        <v>3.3307169355900612E-8</v>
      </c>
      <c r="U171" s="65">
        <v>9.8184847141524756E-8</v>
      </c>
    </row>
    <row r="172" spans="1:21" x14ac:dyDescent="0.25">
      <c r="A172" s="65" t="s">
        <v>787</v>
      </c>
    </row>
  </sheetData>
  <pageMargins left="0.7" right="0.7" top="0.75" bottom="0.75" header="0.3" footer="0.3"/>
  <pageSetup paperSize="9" orientation="portrait" horizontalDpi="4294967292" verticalDpi="4294967292"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FD3145-2E66-4945-8987-0A42B99E6015}">
  <sheetPr>
    <tabColor theme="5" tint="0.79998168889431442"/>
  </sheetPr>
  <dimension ref="A1:BO147"/>
  <sheetViews>
    <sheetView workbookViewId="0"/>
  </sheetViews>
  <sheetFormatPr defaultColWidth="8.85546875" defaultRowHeight="12.75" outlineLevelRow="1" outlineLevelCol="1" x14ac:dyDescent="0.2"/>
  <cols>
    <col min="1" max="1" width="34.85546875" style="18" customWidth="1"/>
    <col min="2" max="2" width="19.42578125" style="18" hidden="1" customWidth="1" outlineLevel="1"/>
    <col min="3" max="3" width="12.140625" style="18" hidden="1" customWidth="1" outlineLevel="1"/>
    <col min="4" max="4" width="14.42578125" style="18" hidden="1" customWidth="1" outlineLevel="1"/>
    <col min="5" max="5" width="16.42578125" style="18" hidden="1" customWidth="1" outlineLevel="1"/>
    <col min="6" max="8" width="8.85546875" style="18" hidden="1" customWidth="1" outlineLevel="1"/>
    <col min="9" max="9" width="0" style="18" hidden="1" customWidth="1" outlineLevel="1"/>
    <col min="10" max="10" width="15.42578125" style="18" hidden="1" customWidth="1" outlineLevel="1"/>
    <col min="11" max="16" width="0" style="18" hidden="1" customWidth="1" outlineLevel="1"/>
    <col min="17" max="17" width="17" style="18" hidden="1" customWidth="1" outlineLevel="1"/>
    <col min="18" max="21" width="0" style="18" hidden="1" customWidth="1" outlineLevel="1"/>
    <col min="22" max="22" width="11.42578125" style="18" hidden="1" customWidth="1" outlineLevel="1"/>
    <col min="23" max="23" width="16" style="18" hidden="1" customWidth="1" outlineLevel="1"/>
    <col min="24" max="24" width="12.42578125" style="18" hidden="1" customWidth="1" outlineLevel="1"/>
    <col min="25" max="27" width="0" style="18" hidden="1" customWidth="1" outlineLevel="1"/>
    <col min="28" max="28" width="15.85546875" style="18" hidden="1" customWidth="1" outlineLevel="1"/>
    <col min="29" max="31" width="0" style="18" hidden="1" customWidth="1" outlineLevel="1"/>
    <col min="32" max="32" width="15.42578125" style="18" customWidth="1" collapsed="1"/>
    <col min="33" max="33" width="10.42578125" style="18" bestFit="1" customWidth="1"/>
    <col min="34" max="34" width="8.85546875" style="18"/>
    <col min="35" max="35" width="9.140625" style="18" bestFit="1" customWidth="1"/>
    <col min="36" max="36" width="8.85546875" style="18"/>
    <col min="37" max="37" width="14.85546875" style="18" customWidth="1"/>
    <col min="38" max="41" width="8.85546875" style="18"/>
    <col min="42" max="44" width="0" style="18" hidden="1" customWidth="1" outlineLevel="1"/>
    <col min="45" max="45" width="15" style="18" hidden="1" customWidth="1" outlineLevel="1"/>
    <col min="46" max="46" width="0" style="18" hidden="1" customWidth="1" outlineLevel="1"/>
    <col min="47" max="47" width="11.85546875" style="18" hidden="1" customWidth="1" outlineLevel="1"/>
    <col min="48" max="48" width="14.42578125" style="18" hidden="1" customWidth="1" outlineLevel="1"/>
    <col min="49" max="49" width="0" style="18" hidden="1" customWidth="1" outlineLevel="1"/>
    <col min="50" max="50" width="13" style="18" hidden="1" customWidth="1" outlineLevel="1"/>
    <col min="51" max="55" width="0" style="18" hidden="1" customWidth="1" outlineLevel="1"/>
    <col min="56" max="56" width="19.42578125" style="18" customWidth="1" collapsed="1"/>
    <col min="57" max="57" width="16.42578125" style="18" hidden="1" customWidth="1"/>
    <col min="58" max="59" width="8.85546875" style="18"/>
    <col min="60" max="60" width="14.5703125" style="18" bestFit="1" customWidth="1"/>
    <col min="61" max="62" width="10" style="18" bestFit="1" customWidth="1"/>
    <col min="63" max="63" width="8.42578125" style="18" customWidth="1"/>
    <col min="64" max="64" width="9.140625" style="18" customWidth="1"/>
    <col min="65" max="65" width="10.42578125" style="18" bestFit="1" customWidth="1"/>
    <col min="66" max="16384" width="8.85546875" style="18"/>
  </cols>
  <sheetData>
    <row r="1" spans="1:63" s="6" customFormat="1" ht="23.25" x14ac:dyDescent="0.35">
      <c r="A1" s="3" t="s">
        <v>7</v>
      </c>
      <c r="B1" s="3"/>
      <c r="C1" s="4"/>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G1" s="7"/>
      <c r="BH1" s="7"/>
      <c r="BI1" s="7"/>
      <c r="BJ1" s="7"/>
      <c r="BK1" s="7"/>
    </row>
    <row r="2" spans="1:63" x14ac:dyDescent="0.2">
      <c r="A2" s="8" t="s">
        <v>8</v>
      </c>
      <c r="B2" s="9" t="s">
        <v>9</v>
      </c>
      <c r="C2" s="9" t="s">
        <v>10</v>
      </c>
      <c r="D2" s="9" t="s">
        <v>11</v>
      </c>
      <c r="E2" s="9" t="s">
        <v>12</v>
      </c>
      <c r="F2" s="9" t="s">
        <v>13</v>
      </c>
      <c r="G2" s="9" t="s">
        <v>14</v>
      </c>
      <c r="H2" s="9" t="s">
        <v>15</v>
      </c>
      <c r="I2" s="10" t="s">
        <v>16</v>
      </c>
      <c r="J2" s="10" t="s">
        <v>17</v>
      </c>
      <c r="K2" s="10" t="s">
        <v>18</v>
      </c>
      <c r="L2" s="10" t="s">
        <v>19</v>
      </c>
      <c r="M2" s="11" t="s">
        <v>20</v>
      </c>
      <c r="N2" s="12" t="s">
        <v>17</v>
      </c>
      <c r="O2" s="12" t="s">
        <v>21</v>
      </c>
      <c r="P2" s="12" t="s">
        <v>22</v>
      </c>
      <c r="Q2" s="13" t="s">
        <v>23</v>
      </c>
      <c r="R2" s="13" t="s">
        <v>24</v>
      </c>
      <c r="S2" s="13" t="s">
        <v>25</v>
      </c>
      <c r="T2" s="13" t="s">
        <v>26</v>
      </c>
      <c r="U2" s="13" t="s">
        <v>27</v>
      </c>
      <c r="V2" s="11" t="s">
        <v>28</v>
      </c>
      <c r="W2" s="14" t="s">
        <v>29</v>
      </c>
      <c r="X2" s="14" t="s">
        <v>30</v>
      </c>
      <c r="Y2" s="14" t="s">
        <v>31</v>
      </c>
      <c r="Z2" s="14" t="s">
        <v>32</v>
      </c>
      <c r="AA2" s="14" t="s">
        <v>33</v>
      </c>
      <c r="AB2" s="14" t="s">
        <v>34</v>
      </c>
      <c r="AC2" s="12" t="s">
        <v>32</v>
      </c>
      <c r="AD2" s="12" t="s">
        <v>35</v>
      </c>
      <c r="AE2" s="12" t="s">
        <v>36</v>
      </c>
      <c r="AF2" s="12" t="s">
        <v>37</v>
      </c>
      <c r="AG2" s="12" t="s">
        <v>38</v>
      </c>
      <c r="AH2" s="12" t="s">
        <v>39</v>
      </c>
      <c r="AI2" s="12" t="s">
        <v>39</v>
      </c>
      <c r="AJ2" s="12" t="s">
        <v>40</v>
      </c>
      <c r="AK2" s="12" t="s">
        <v>41</v>
      </c>
      <c r="AL2" s="12" t="s">
        <v>42</v>
      </c>
      <c r="AM2" s="12" t="s">
        <v>43</v>
      </c>
      <c r="AN2" s="12" t="s">
        <v>44</v>
      </c>
      <c r="AO2" s="12" t="s">
        <v>45</v>
      </c>
      <c r="AP2" s="12" t="s">
        <v>46</v>
      </c>
      <c r="AQ2" s="12" t="s">
        <v>47</v>
      </c>
      <c r="AR2" s="12" t="s">
        <v>48</v>
      </c>
      <c r="AS2" s="12" t="s">
        <v>49</v>
      </c>
      <c r="AT2" s="12" t="s">
        <v>50</v>
      </c>
      <c r="AU2" s="15" t="s">
        <v>51</v>
      </c>
      <c r="AV2" s="15" t="s">
        <v>52</v>
      </c>
      <c r="AW2" s="15" t="s">
        <v>53</v>
      </c>
      <c r="AX2" s="15" t="s">
        <v>54</v>
      </c>
      <c r="AY2" s="15" t="s">
        <v>55</v>
      </c>
      <c r="AZ2" s="15" t="s">
        <v>56</v>
      </c>
      <c r="BA2" s="12" t="s">
        <v>57</v>
      </c>
      <c r="BB2" s="12" t="s">
        <v>58</v>
      </c>
      <c r="BC2" s="12" t="s">
        <v>40</v>
      </c>
      <c r="BD2" s="16" t="s">
        <v>59</v>
      </c>
      <c r="BE2" s="17" t="s">
        <v>60</v>
      </c>
    </row>
    <row r="3" spans="1:63" x14ac:dyDescent="0.2">
      <c r="A3" s="19"/>
      <c r="B3" s="9" t="s">
        <v>61</v>
      </c>
      <c r="C3" s="9" t="s">
        <v>61</v>
      </c>
      <c r="D3" s="9" t="s">
        <v>61</v>
      </c>
      <c r="E3" s="9" t="s">
        <v>61</v>
      </c>
      <c r="F3" s="9" t="s">
        <v>12</v>
      </c>
      <c r="G3" s="9"/>
      <c r="H3" s="9"/>
      <c r="I3" s="10" t="s">
        <v>62</v>
      </c>
      <c r="J3" s="10" t="s">
        <v>63</v>
      </c>
      <c r="K3" s="10"/>
      <c r="L3" s="10"/>
      <c r="M3" s="11" t="s">
        <v>64</v>
      </c>
      <c r="N3" s="12" t="s">
        <v>64</v>
      </c>
      <c r="O3" s="12" t="s">
        <v>65</v>
      </c>
      <c r="P3" s="12" t="s">
        <v>65</v>
      </c>
      <c r="Q3" s="13" t="s">
        <v>66</v>
      </c>
      <c r="R3" s="13"/>
      <c r="S3" s="13" t="s">
        <v>67</v>
      </c>
      <c r="T3" s="13" t="s">
        <v>67</v>
      </c>
      <c r="U3" s="13"/>
      <c r="V3" s="11" t="s">
        <v>64</v>
      </c>
      <c r="W3" s="14" t="s">
        <v>68</v>
      </c>
      <c r="X3" s="14"/>
      <c r="Y3" s="14"/>
      <c r="Z3" s="14" t="s">
        <v>69</v>
      </c>
      <c r="AA3" s="14"/>
      <c r="AB3" s="14" t="s">
        <v>70</v>
      </c>
      <c r="AC3" s="12" t="s">
        <v>64</v>
      </c>
      <c r="AD3" s="12"/>
      <c r="AE3" s="12"/>
      <c r="AF3" s="12" t="s">
        <v>71</v>
      </c>
      <c r="AG3" s="12" t="s">
        <v>71</v>
      </c>
      <c r="AH3" s="12" t="s">
        <v>71</v>
      </c>
      <c r="AI3" s="12" t="s">
        <v>72</v>
      </c>
      <c r="AJ3" s="12" t="s">
        <v>72</v>
      </c>
      <c r="AK3" s="12"/>
      <c r="AL3" s="12" t="s">
        <v>62</v>
      </c>
      <c r="AM3" s="12"/>
      <c r="AN3" s="12" t="s">
        <v>73</v>
      </c>
      <c r="AO3" s="12"/>
      <c r="AP3" s="12"/>
      <c r="AQ3" s="12" t="s">
        <v>74</v>
      </c>
      <c r="AR3" s="12" t="s">
        <v>75</v>
      </c>
      <c r="AS3" s="12" t="s">
        <v>76</v>
      </c>
      <c r="AT3" s="12"/>
      <c r="AU3" s="15"/>
      <c r="AV3" s="15"/>
      <c r="AW3" s="15"/>
      <c r="AX3" s="15"/>
      <c r="AY3" s="15"/>
      <c r="AZ3" s="15"/>
      <c r="BA3" s="12"/>
      <c r="BB3" s="12"/>
      <c r="BC3" s="12"/>
      <c r="BD3" s="16"/>
      <c r="BE3" s="20"/>
    </row>
    <row r="4" spans="1:63" x14ac:dyDescent="0.2">
      <c r="A4" s="21" t="s">
        <v>77</v>
      </c>
      <c r="B4" s="22"/>
      <c r="C4" s="22"/>
      <c r="D4" s="22"/>
      <c r="E4" s="22"/>
      <c r="F4" s="22" t="s">
        <v>61</v>
      </c>
      <c r="G4" s="22"/>
      <c r="H4" s="22"/>
      <c r="I4" s="23"/>
      <c r="J4" s="23"/>
      <c r="K4" s="23"/>
      <c r="L4" s="23"/>
      <c r="M4" s="24"/>
      <c r="N4" s="25"/>
      <c r="O4" s="25"/>
      <c r="P4" s="25"/>
      <c r="Q4" s="26"/>
      <c r="R4" s="26"/>
      <c r="S4" s="26"/>
      <c r="T4" s="26"/>
      <c r="U4" s="26"/>
      <c r="V4" s="24"/>
      <c r="W4" s="27"/>
      <c r="X4" s="27"/>
      <c r="Y4" s="27"/>
      <c r="Z4" s="27"/>
      <c r="AA4" s="27"/>
      <c r="AB4" s="27" t="s">
        <v>78</v>
      </c>
      <c r="AC4" s="25"/>
      <c r="AD4" s="25"/>
      <c r="AE4" s="25"/>
      <c r="AF4" s="25"/>
      <c r="AG4" s="25"/>
      <c r="AH4" s="25"/>
      <c r="AI4" s="25"/>
      <c r="AJ4" s="25"/>
      <c r="AK4" s="25"/>
      <c r="AL4" s="25"/>
      <c r="AM4" s="25"/>
      <c r="AN4" s="25"/>
      <c r="AO4" s="25"/>
      <c r="AP4" s="25"/>
      <c r="AQ4" s="25"/>
      <c r="AR4" s="25"/>
      <c r="AS4" s="25"/>
      <c r="AT4" s="25"/>
      <c r="AU4" s="28"/>
      <c r="AV4" s="28"/>
      <c r="AW4" s="28"/>
      <c r="AX4" s="28"/>
      <c r="AY4" s="28"/>
      <c r="AZ4" s="28"/>
      <c r="BA4" s="25"/>
      <c r="BB4" s="25"/>
      <c r="BC4" s="25"/>
      <c r="BD4" s="29"/>
      <c r="BE4" s="30"/>
    </row>
    <row r="5" spans="1:63" x14ac:dyDescent="0.2">
      <c r="A5" s="31">
        <v>1</v>
      </c>
      <c r="B5" s="32"/>
      <c r="C5" s="32"/>
      <c r="D5" s="32"/>
      <c r="E5" s="32"/>
      <c r="F5" s="32"/>
      <c r="G5" s="32"/>
      <c r="H5" s="32"/>
      <c r="I5" s="33"/>
      <c r="J5" s="33"/>
      <c r="K5" s="33"/>
      <c r="L5" s="33"/>
      <c r="M5" s="33"/>
      <c r="N5" s="33"/>
      <c r="O5" s="33"/>
      <c r="P5" s="33"/>
      <c r="Q5" s="33"/>
      <c r="R5" s="33"/>
      <c r="S5" s="33"/>
      <c r="T5" s="33"/>
      <c r="U5" s="33"/>
      <c r="V5" s="33"/>
      <c r="W5" s="33"/>
      <c r="X5" s="33"/>
      <c r="Y5" s="33"/>
      <c r="Z5" s="33"/>
      <c r="AA5" s="33"/>
      <c r="AB5" s="3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c r="BE5" s="33"/>
    </row>
    <row r="6" spans="1:63" hidden="1" outlineLevel="1" x14ac:dyDescent="0.2">
      <c r="A6" s="34" t="s">
        <v>79</v>
      </c>
      <c r="B6" s="35">
        <v>5788410.7964000003</v>
      </c>
      <c r="C6" s="35">
        <v>0</v>
      </c>
      <c r="D6" s="35">
        <v>49117.144</v>
      </c>
      <c r="E6" s="35">
        <v>5739293.6524</v>
      </c>
      <c r="F6" s="35">
        <v>0</v>
      </c>
      <c r="G6" s="35">
        <v>0</v>
      </c>
      <c r="H6" s="35">
        <v>0</v>
      </c>
      <c r="I6" s="36"/>
      <c r="J6" s="35"/>
      <c r="K6" s="35"/>
      <c r="L6" s="35"/>
      <c r="M6" s="37"/>
      <c r="N6" s="35"/>
      <c r="O6" s="35"/>
      <c r="P6" s="35"/>
      <c r="Q6" s="35">
        <v>428396</v>
      </c>
      <c r="R6" s="35">
        <v>0</v>
      </c>
      <c r="S6" s="35">
        <v>0</v>
      </c>
      <c r="T6" s="35">
        <v>0</v>
      </c>
      <c r="U6" s="35">
        <v>0</v>
      </c>
      <c r="V6" s="37">
        <v>72313.597500000003</v>
      </c>
      <c r="W6" s="35">
        <v>0</v>
      </c>
      <c r="X6" s="35">
        <v>0</v>
      </c>
      <c r="Y6" s="35">
        <v>0</v>
      </c>
      <c r="Z6" s="35">
        <v>0</v>
      </c>
      <c r="AA6" s="35">
        <v>0</v>
      </c>
      <c r="AB6" s="35">
        <v>0</v>
      </c>
      <c r="AC6" s="36"/>
      <c r="AD6" s="35"/>
      <c r="AE6" s="35"/>
      <c r="AF6" s="35"/>
      <c r="AG6" s="35"/>
      <c r="AH6" s="35"/>
      <c r="AI6" s="35"/>
      <c r="AJ6" s="35"/>
      <c r="AK6" s="35"/>
      <c r="AL6" s="35"/>
      <c r="AM6" s="35"/>
      <c r="AN6" s="35"/>
      <c r="AO6" s="35"/>
      <c r="AP6" s="35"/>
      <c r="AQ6" s="35"/>
      <c r="AR6" s="35"/>
      <c r="AS6" s="35"/>
      <c r="AT6" s="35">
        <v>0</v>
      </c>
      <c r="AU6" s="35">
        <v>109374.5454545454</v>
      </c>
      <c r="AV6" s="35">
        <v>9894.6540000000005</v>
      </c>
      <c r="AW6" s="35">
        <v>0</v>
      </c>
      <c r="AX6" s="35">
        <v>1915.2</v>
      </c>
      <c r="AY6" s="35">
        <v>0</v>
      </c>
      <c r="AZ6" s="35">
        <v>116.02079999999999</v>
      </c>
      <c r="BA6" s="35">
        <v>0</v>
      </c>
      <c r="BB6" s="35">
        <v>0</v>
      </c>
      <c r="BC6" s="35">
        <v>0</v>
      </c>
      <c r="BD6" s="35">
        <v>844563.02400000009</v>
      </c>
      <c r="BE6" s="35">
        <v>0</v>
      </c>
    </row>
    <row r="7" spans="1:63" hidden="1" outlineLevel="1" x14ac:dyDescent="0.2">
      <c r="A7" s="34" t="s">
        <v>80</v>
      </c>
      <c r="B7" s="35">
        <v>0</v>
      </c>
      <c r="C7" s="35">
        <v>0</v>
      </c>
      <c r="D7" s="35">
        <v>0</v>
      </c>
      <c r="E7" s="35">
        <v>0</v>
      </c>
      <c r="F7" s="35">
        <v>0</v>
      </c>
      <c r="G7" s="35">
        <v>0</v>
      </c>
      <c r="H7" s="35">
        <v>0</v>
      </c>
      <c r="I7" s="35"/>
      <c r="J7" s="35"/>
      <c r="K7" s="35"/>
      <c r="L7" s="35"/>
      <c r="M7" s="37"/>
      <c r="N7" s="35"/>
      <c r="O7" s="35"/>
      <c r="P7" s="35"/>
      <c r="Q7" s="35">
        <v>0</v>
      </c>
      <c r="R7" s="35">
        <v>0</v>
      </c>
      <c r="S7" s="35">
        <v>0</v>
      </c>
      <c r="T7" s="35">
        <v>0</v>
      </c>
      <c r="U7" s="35">
        <v>0</v>
      </c>
      <c r="V7" s="37">
        <v>35802.400000000001</v>
      </c>
      <c r="W7" s="35">
        <v>308603.56728538277</v>
      </c>
      <c r="X7" s="35">
        <v>0</v>
      </c>
      <c r="Y7" s="35">
        <v>0</v>
      </c>
      <c r="Z7" s="36"/>
      <c r="AA7" s="35">
        <v>0</v>
      </c>
      <c r="AB7" s="35">
        <v>308603.56728538277</v>
      </c>
      <c r="AC7" s="35"/>
      <c r="AD7" s="35"/>
      <c r="AE7" s="35"/>
      <c r="AF7" s="35"/>
      <c r="AG7" s="35"/>
      <c r="AH7" s="35"/>
      <c r="AI7" s="35"/>
      <c r="AJ7" s="35"/>
      <c r="AK7" s="35"/>
      <c r="AL7" s="35"/>
      <c r="AM7" s="35"/>
      <c r="AN7" s="35"/>
      <c r="AO7" s="35"/>
      <c r="AP7" s="35"/>
      <c r="AQ7" s="35"/>
      <c r="AR7" s="35"/>
      <c r="AS7" s="35"/>
      <c r="AT7" s="35">
        <v>0</v>
      </c>
      <c r="AU7" s="35"/>
      <c r="AV7" s="35"/>
      <c r="AW7" s="35"/>
      <c r="AX7" s="35"/>
      <c r="AY7" s="35"/>
      <c r="AZ7" s="35"/>
      <c r="BA7" s="35">
        <v>0</v>
      </c>
      <c r="BB7" s="35">
        <v>0</v>
      </c>
      <c r="BC7" s="35">
        <v>0</v>
      </c>
      <c r="BD7" s="35">
        <v>0</v>
      </c>
      <c r="BE7" s="35">
        <v>0</v>
      </c>
    </row>
    <row r="8" spans="1:63" hidden="1" outlineLevel="1" x14ac:dyDescent="0.2">
      <c r="A8" s="34" t="s">
        <v>81</v>
      </c>
      <c r="B8" s="35">
        <v>57428.12</v>
      </c>
      <c r="C8" s="35">
        <v>0</v>
      </c>
      <c r="D8" s="35">
        <v>57428.12</v>
      </c>
      <c r="E8" s="35">
        <v>0</v>
      </c>
      <c r="F8" s="35">
        <v>0</v>
      </c>
      <c r="G8" s="35">
        <v>0</v>
      </c>
      <c r="H8" s="35">
        <v>0</v>
      </c>
      <c r="I8" s="35">
        <v>0</v>
      </c>
      <c r="J8" s="35">
        <v>0</v>
      </c>
      <c r="K8" s="35">
        <v>0</v>
      </c>
      <c r="L8" s="35">
        <v>0</v>
      </c>
      <c r="M8" s="37">
        <v>0</v>
      </c>
      <c r="N8" s="35">
        <v>0</v>
      </c>
      <c r="O8" s="35">
        <v>0</v>
      </c>
      <c r="P8" s="35">
        <v>0</v>
      </c>
      <c r="Q8" s="35">
        <v>0</v>
      </c>
      <c r="R8" s="35">
        <v>0</v>
      </c>
      <c r="S8" s="35">
        <v>0</v>
      </c>
      <c r="T8" s="35">
        <v>0</v>
      </c>
      <c r="U8" s="35">
        <v>0</v>
      </c>
      <c r="V8" s="37">
        <v>52201.61</v>
      </c>
      <c r="W8" s="35">
        <v>926356.32638568</v>
      </c>
      <c r="X8" s="35">
        <v>926356.32638568</v>
      </c>
      <c r="Y8" s="35">
        <v>0</v>
      </c>
      <c r="Z8" s="35">
        <v>0</v>
      </c>
      <c r="AA8" s="35">
        <v>0</v>
      </c>
      <c r="AB8" s="35">
        <v>0</v>
      </c>
      <c r="AC8" s="35">
        <v>0</v>
      </c>
      <c r="AD8" s="35">
        <v>0</v>
      </c>
      <c r="AE8" s="35">
        <v>105.13174444444449</v>
      </c>
      <c r="AF8" s="35">
        <v>14986.755471891889</v>
      </c>
      <c r="AG8" s="35">
        <v>1394.321535205479</v>
      </c>
      <c r="AH8" s="35">
        <v>0</v>
      </c>
      <c r="AI8" s="35">
        <v>9321.3474623456787</v>
      </c>
      <c r="AJ8" s="35">
        <v>1.8485839506172841</v>
      </c>
      <c r="AK8" s="35">
        <v>74844.069916896566</v>
      </c>
      <c r="AL8" s="35">
        <v>4206.3969178947364</v>
      </c>
      <c r="AM8" s="35">
        <v>0</v>
      </c>
      <c r="AN8" s="35">
        <v>215.03208296296299</v>
      </c>
      <c r="AO8" s="35">
        <v>9424.2159353333336</v>
      </c>
      <c r="AP8" s="35">
        <v>6.1492471153846147</v>
      </c>
      <c r="AQ8" s="35">
        <v>1466.8191075</v>
      </c>
      <c r="AR8" s="35">
        <v>0</v>
      </c>
      <c r="AS8" s="35">
        <v>19291.431292087909</v>
      </c>
      <c r="AT8" s="35">
        <v>0</v>
      </c>
      <c r="AU8" s="35"/>
      <c r="AV8" s="35"/>
      <c r="AW8" s="35"/>
      <c r="AX8" s="35"/>
      <c r="AY8" s="35"/>
      <c r="AZ8" s="35"/>
      <c r="BA8" s="35">
        <v>0</v>
      </c>
      <c r="BB8" s="35">
        <v>0</v>
      </c>
      <c r="BC8" s="35">
        <v>0</v>
      </c>
      <c r="BD8" s="35">
        <v>38246.400000000001</v>
      </c>
      <c r="BE8" s="35">
        <v>0</v>
      </c>
    </row>
    <row r="9" spans="1:63" hidden="1" outlineLevel="1" x14ac:dyDescent="0.2">
      <c r="A9" s="34" t="s">
        <v>82</v>
      </c>
      <c r="B9" s="35">
        <v>-1926941.6869999999</v>
      </c>
      <c r="C9" s="35">
        <v>0</v>
      </c>
      <c r="D9" s="35">
        <v>-20834.014999999999</v>
      </c>
      <c r="E9" s="35">
        <v>-1906107.672</v>
      </c>
      <c r="F9" s="35">
        <v>0</v>
      </c>
      <c r="G9" s="35">
        <v>0</v>
      </c>
      <c r="H9" s="35">
        <v>0</v>
      </c>
      <c r="I9" s="35">
        <v>0</v>
      </c>
      <c r="J9" s="35">
        <v>0</v>
      </c>
      <c r="K9" s="35">
        <v>0</v>
      </c>
      <c r="L9" s="35">
        <v>0</v>
      </c>
      <c r="M9" s="37">
        <v>0</v>
      </c>
      <c r="N9" s="35">
        <v>0</v>
      </c>
      <c r="O9" s="35">
        <v>0</v>
      </c>
      <c r="P9" s="35">
        <v>0</v>
      </c>
      <c r="Q9" s="35">
        <v>0</v>
      </c>
      <c r="R9" s="35">
        <v>0</v>
      </c>
      <c r="S9" s="35">
        <v>0</v>
      </c>
      <c r="T9" s="35">
        <v>0</v>
      </c>
      <c r="U9" s="35">
        <v>0</v>
      </c>
      <c r="V9" s="37">
        <v>0</v>
      </c>
      <c r="W9" s="35">
        <v>-20838.03412968</v>
      </c>
      <c r="X9" s="35">
        <v>-20838.03412968</v>
      </c>
      <c r="Y9" s="35">
        <v>0</v>
      </c>
      <c r="Z9" s="35">
        <v>0</v>
      </c>
      <c r="AA9" s="35">
        <v>0</v>
      </c>
      <c r="AB9" s="35">
        <v>0</v>
      </c>
      <c r="AC9" s="35">
        <v>0</v>
      </c>
      <c r="AD9" s="35">
        <v>0</v>
      </c>
      <c r="AE9" s="35">
        <v>-549.93525222222218</v>
      </c>
      <c r="AF9" s="35">
        <v>-3548.8458656756761</v>
      </c>
      <c r="AG9" s="35">
        <v>-225.64281164383561</v>
      </c>
      <c r="AH9" s="35">
        <v>0</v>
      </c>
      <c r="AI9" s="35">
        <v>-4821.5598079012334</v>
      </c>
      <c r="AJ9" s="35">
        <v>-205.79623827160489</v>
      </c>
      <c r="AK9" s="35">
        <v>-28736.592522758619</v>
      </c>
      <c r="AL9" s="35">
        <v>-61887.355098947359</v>
      </c>
      <c r="AM9" s="35">
        <v>0</v>
      </c>
      <c r="AN9" s="35">
        <v>-793.93625259259261</v>
      </c>
      <c r="AO9" s="35">
        <v>-4708.9429099999988</v>
      </c>
      <c r="AP9" s="35">
        <v>-8587.6355936538457</v>
      </c>
      <c r="AQ9" s="35">
        <v>-5299.0486762500004</v>
      </c>
      <c r="AR9" s="35">
        <v>0</v>
      </c>
      <c r="AS9" s="35">
        <v>-6507.4773553846162</v>
      </c>
      <c r="AT9" s="35">
        <v>0</v>
      </c>
      <c r="AU9" s="35"/>
      <c r="AV9" s="35"/>
      <c r="AW9" s="35"/>
      <c r="AX9" s="35"/>
      <c r="AY9" s="35"/>
      <c r="AZ9" s="35"/>
      <c r="BA9" s="35">
        <v>0</v>
      </c>
      <c r="BB9" s="35">
        <v>0</v>
      </c>
      <c r="BC9" s="35">
        <v>0</v>
      </c>
      <c r="BD9" s="35">
        <v>-48920.4</v>
      </c>
      <c r="BE9" s="35">
        <v>0</v>
      </c>
    </row>
    <row r="10" spans="1:63" hidden="1" outlineLevel="1" x14ac:dyDescent="0.2">
      <c r="A10" s="34" t="s">
        <v>83</v>
      </c>
      <c r="B10" s="35">
        <v>0</v>
      </c>
      <c r="C10" s="35">
        <v>0</v>
      </c>
      <c r="D10" s="35">
        <v>0</v>
      </c>
      <c r="E10" s="35">
        <v>0</v>
      </c>
      <c r="F10" s="35">
        <v>0</v>
      </c>
      <c r="G10" s="35">
        <v>0</v>
      </c>
      <c r="H10" s="35">
        <v>0</v>
      </c>
      <c r="I10" s="35">
        <v>0</v>
      </c>
      <c r="J10" s="35">
        <v>0</v>
      </c>
      <c r="K10" s="35">
        <v>0</v>
      </c>
      <c r="L10" s="35">
        <v>0</v>
      </c>
      <c r="M10" s="37">
        <v>0</v>
      </c>
      <c r="N10" s="35">
        <v>0</v>
      </c>
      <c r="O10" s="35">
        <v>0</v>
      </c>
      <c r="P10" s="35">
        <v>0</v>
      </c>
      <c r="Q10" s="35">
        <v>0</v>
      </c>
      <c r="R10" s="35">
        <v>0</v>
      </c>
      <c r="S10" s="35">
        <v>0</v>
      </c>
      <c r="T10" s="35">
        <v>0</v>
      </c>
      <c r="U10" s="35">
        <v>0</v>
      </c>
      <c r="V10" s="37">
        <v>0</v>
      </c>
      <c r="W10" s="35">
        <v>0</v>
      </c>
      <c r="X10" s="35">
        <v>0</v>
      </c>
      <c r="Y10" s="35">
        <v>0</v>
      </c>
      <c r="Z10" s="35">
        <v>0</v>
      </c>
      <c r="AA10" s="35">
        <v>0</v>
      </c>
      <c r="AB10" s="35">
        <v>0</v>
      </c>
      <c r="AC10" s="35">
        <v>0</v>
      </c>
      <c r="AD10" s="35">
        <v>0</v>
      </c>
      <c r="AE10" s="35">
        <v>0</v>
      </c>
      <c r="AF10" s="35">
        <v>0</v>
      </c>
      <c r="AG10" s="35">
        <v>0</v>
      </c>
      <c r="AH10" s="35">
        <v>0</v>
      </c>
      <c r="AI10" s="35">
        <v>0</v>
      </c>
      <c r="AJ10" s="35">
        <v>0</v>
      </c>
      <c r="AK10" s="35">
        <v>-9921.7739333999998</v>
      </c>
      <c r="AL10" s="35">
        <v>-97592.864054399994</v>
      </c>
      <c r="AM10" s="35">
        <v>0</v>
      </c>
      <c r="AN10" s="35">
        <v>0</v>
      </c>
      <c r="AO10" s="35">
        <v>0</v>
      </c>
      <c r="AP10" s="35">
        <v>0</v>
      </c>
      <c r="AQ10" s="35">
        <v>0</v>
      </c>
      <c r="AR10" s="35">
        <v>0</v>
      </c>
      <c r="AS10" s="35">
        <v>0</v>
      </c>
      <c r="AT10" s="35">
        <v>0</v>
      </c>
      <c r="AU10" s="35"/>
      <c r="AV10" s="35"/>
      <c r="AW10" s="35"/>
      <c r="AX10" s="35"/>
      <c r="AY10" s="35"/>
      <c r="AZ10" s="35"/>
      <c r="BA10" s="35">
        <v>0</v>
      </c>
      <c r="BB10" s="35">
        <v>0</v>
      </c>
      <c r="BC10" s="35">
        <v>0</v>
      </c>
      <c r="BD10" s="35">
        <v>0</v>
      </c>
      <c r="BE10" s="35">
        <v>0</v>
      </c>
    </row>
    <row r="11" spans="1:63" hidden="1" outlineLevel="1" x14ac:dyDescent="0.2">
      <c r="A11" s="34" t="s">
        <v>84</v>
      </c>
      <c r="B11" s="35">
        <v>-197740.92600000001</v>
      </c>
      <c r="C11" s="35">
        <v>0</v>
      </c>
      <c r="D11" s="35">
        <v>0</v>
      </c>
      <c r="E11" s="35">
        <v>-197740.92600000001</v>
      </c>
      <c r="F11" s="35">
        <v>0</v>
      </c>
      <c r="G11" s="35">
        <v>0</v>
      </c>
      <c r="H11" s="35">
        <v>0</v>
      </c>
      <c r="I11" s="35">
        <v>0</v>
      </c>
      <c r="J11" s="35">
        <v>0</v>
      </c>
      <c r="K11" s="35">
        <v>0</v>
      </c>
      <c r="L11" s="35">
        <v>0</v>
      </c>
      <c r="M11" s="37">
        <v>0</v>
      </c>
      <c r="N11" s="35">
        <v>0</v>
      </c>
      <c r="O11" s="35">
        <v>0</v>
      </c>
      <c r="P11" s="35">
        <v>0</v>
      </c>
      <c r="Q11" s="35">
        <v>0</v>
      </c>
      <c r="R11" s="35">
        <v>0</v>
      </c>
      <c r="S11" s="35">
        <v>0</v>
      </c>
      <c r="T11" s="35">
        <v>0</v>
      </c>
      <c r="U11" s="35">
        <v>0</v>
      </c>
      <c r="V11" s="37">
        <v>0</v>
      </c>
      <c r="W11" s="35">
        <v>0</v>
      </c>
      <c r="X11" s="35">
        <v>0</v>
      </c>
      <c r="Y11" s="35">
        <v>0</v>
      </c>
      <c r="Z11" s="35">
        <v>0</v>
      </c>
      <c r="AA11" s="35">
        <v>0</v>
      </c>
      <c r="AB11" s="35">
        <v>0</v>
      </c>
      <c r="AC11" s="35">
        <v>0</v>
      </c>
      <c r="AD11" s="35">
        <v>0</v>
      </c>
      <c r="AE11" s="35">
        <v>0</v>
      </c>
      <c r="AF11" s="35">
        <v>0</v>
      </c>
      <c r="AG11" s="35">
        <v>-423.93247116164378</v>
      </c>
      <c r="AH11" s="35">
        <v>0</v>
      </c>
      <c r="AI11" s="35">
        <v>0</v>
      </c>
      <c r="AJ11" s="35">
        <v>0</v>
      </c>
      <c r="AK11" s="35">
        <v>0</v>
      </c>
      <c r="AL11" s="35">
        <v>0</v>
      </c>
      <c r="AM11" s="35">
        <v>0</v>
      </c>
      <c r="AN11" s="35">
        <v>0</v>
      </c>
      <c r="AO11" s="35">
        <v>0</v>
      </c>
      <c r="AP11" s="35">
        <v>0</v>
      </c>
      <c r="AQ11" s="35">
        <v>0</v>
      </c>
      <c r="AR11" s="35">
        <v>0</v>
      </c>
      <c r="AS11" s="35">
        <v>0</v>
      </c>
      <c r="AT11" s="35">
        <v>0</v>
      </c>
      <c r="AU11" s="35"/>
      <c r="AV11" s="35"/>
      <c r="AW11" s="35"/>
      <c r="AX11" s="35"/>
      <c r="AY11" s="35"/>
      <c r="AZ11" s="35"/>
      <c r="BA11" s="35">
        <v>0</v>
      </c>
      <c r="BB11" s="35">
        <v>0</v>
      </c>
      <c r="BC11" s="35">
        <v>0</v>
      </c>
      <c r="BD11" s="35">
        <v>0</v>
      </c>
      <c r="BE11" s="35">
        <v>0</v>
      </c>
    </row>
    <row r="12" spans="1:63" hidden="1" outlineLevel="1" x14ac:dyDescent="0.2">
      <c r="A12" s="38" t="s">
        <v>85</v>
      </c>
      <c r="B12" s="39">
        <v>3721156.3034000001</v>
      </c>
      <c r="C12" s="39">
        <v>0</v>
      </c>
      <c r="D12" s="39">
        <v>85711.248999999996</v>
      </c>
      <c r="E12" s="39">
        <v>3635445.0543999998</v>
      </c>
      <c r="F12" s="39">
        <v>0</v>
      </c>
      <c r="G12" s="39">
        <v>0</v>
      </c>
      <c r="H12" s="39">
        <v>0</v>
      </c>
      <c r="I12" s="39">
        <v>0</v>
      </c>
      <c r="J12" s="39">
        <v>0</v>
      </c>
      <c r="K12" s="39">
        <v>0</v>
      </c>
      <c r="L12" s="39">
        <v>0</v>
      </c>
      <c r="M12" s="40">
        <v>0</v>
      </c>
      <c r="N12" s="39">
        <v>0</v>
      </c>
      <c r="O12" s="39">
        <v>0</v>
      </c>
      <c r="P12" s="39">
        <v>0</v>
      </c>
      <c r="Q12" s="39">
        <v>428396</v>
      </c>
      <c r="R12" s="39">
        <v>0</v>
      </c>
      <c r="S12" s="39">
        <v>0</v>
      </c>
      <c r="T12" s="39">
        <v>0</v>
      </c>
      <c r="U12" s="39">
        <v>0</v>
      </c>
      <c r="V12" s="40">
        <v>160317.60750000001</v>
      </c>
      <c r="W12" s="39">
        <v>1214121.8595413801</v>
      </c>
      <c r="X12" s="39">
        <v>905518.29225599999</v>
      </c>
      <c r="Y12" s="39">
        <v>0</v>
      </c>
      <c r="Z12" s="39">
        <v>0</v>
      </c>
      <c r="AA12" s="39">
        <v>0</v>
      </c>
      <c r="AB12" s="39">
        <v>308603.56728538277</v>
      </c>
      <c r="AC12" s="39">
        <v>0</v>
      </c>
      <c r="AD12" s="39">
        <v>0</v>
      </c>
      <c r="AE12" s="39">
        <v>-444.80350777777772</v>
      </c>
      <c r="AF12" s="39">
        <v>11437.909606216221</v>
      </c>
      <c r="AG12" s="39">
        <v>744.74625240000012</v>
      </c>
      <c r="AH12" s="39">
        <v>0</v>
      </c>
      <c r="AI12" s="39">
        <v>4499.7876544444453</v>
      </c>
      <c r="AJ12" s="39">
        <v>-203.94765432098771</v>
      </c>
      <c r="AK12" s="39">
        <v>36185.703460737939</v>
      </c>
      <c r="AL12" s="39">
        <v>-155273.82223545259</v>
      </c>
      <c r="AM12" s="39">
        <v>0</v>
      </c>
      <c r="AN12" s="39">
        <v>-578.90416962962968</v>
      </c>
      <c r="AO12" s="39">
        <v>4715.2730253333339</v>
      </c>
      <c r="AP12" s="39">
        <v>-8581.4863465384606</v>
      </c>
      <c r="AQ12" s="39">
        <v>-3832.22956875</v>
      </c>
      <c r="AR12" s="39">
        <v>0</v>
      </c>
      <c r="AS12" s="39">
        <v>12783.953936703299</v>
      </c>
      <c r="AT12" s="39">
        <v>0</v>
      </c>
      <c r="AU12" s="39">
        <v>109374.5454545454</v>
      </c>
      <c r="AV12" s="39">
        <v>9894.6540000000005</v>
      </c>
      <c r="AW12" s="39">
        <v>0</v>
      </c>
      <c r="AX12" s="39">
        <v>1915.2</v>
      </c>
      <c r="AY12" s="39">
        <v>0</v>
      </c>
      <c r="AZ12" s="39">
        <v>116.02079999999999</v>
      </c>
      <c r="BA12" s="39">
        <v>0</v>
      </c>
      <c r="BB12" s="39">
        <v>0</v>
      </c>
      <c r="BC12" s="39">
        <v>0</v>
      </c>
      <c r="BD12" s="39">
        <v>833889.02400000009</v>
      </c>
      <c r="BE12" s="39">
        <v>0</v>
      </c>
    </row>
    <row r="13" spans="1:63" hidden="1" outlineLevel="1" x14ac:dyDescent="0.2">
      <c r="A13" s="34"/>
      <c r="B13" s="35"/>
      <c r="C13" s="35"/>
      <c r="D13" s="35"/>
      <c r="E13" s="35"/>
      <c r="F13" s="35"/>
      <c r="G13" s="35"/>
      <c r="H13" s="35"/>
      <c r="I13" s="35"/>
      <c r="J13" s="35"/>
      <c r="K13" s="35"/>
      <c r="L13" s="35"/>
      <c r="M13" s="37"/>
      <c r="N13" s="35"/>
      <c r="O13" s="35"/>
      <c r="P13" s="35"/>
      <c r="Q13" s="35"/>
      <c r="R13" s="35"/>
      <c r="S13" s="35"/>
      <c r="T13" s="35"/>
      <c r="U13" s="35"/>
      <c r="V13" s="37"/>
      <c r="W13" s="35"/>
      <c r="X13" s="35"/>
      <c r="Y13" s="35"/>
      <c r="Z13" s="35"/>
      <c r="AA13" s="35"/>
      <c r="AB13" s="35"/>
      <c r="AC13" s="35"/>
      <c r="AD13" s="35"/>
      <c r="AE13" s="35"/>
      <c r="AF13" s="35"/>
      <c r="AG13" s="35"/>
      <c r="AH13" s="35"/>
      <c r="AI13" s="35"/>
      <c r="AJ13" s="35"/>
      <c r="AK13" s="35"/>
      <c r="AL13" s="35"/>
      <c r="AM13" s="35"/>
      <c r="AN13" s="35"/>
      <c r="AO13" s="35"/>
      <c r="AP13" s="35"/>
      <c r="AQ13" s="35"/>
      <c r="AR13" s="35"/>
      <c r="AS13" s="35"/>
      <c r="AT13" s="35"/>
      <c r="AU13" s="35"/>
      <c r="AV13" s="35"/>
      <c r="AW13" s="35"/>
      <c r="AX13" s="35"/>
      <c r="AY13" s="35"/>
      <c r="AZ13" s="35"/>
      <c r="BA13" s="35"/>
      <c r="BB13" s="35"/>
      <c r="BC13" s="35"/>
      <c r="BD13" s="35"/>
      <c r="BE13" s="35"/>
    </row>
    <row r="14" spans="1:63" hidden="1" outlineLevel="1" x14ac:dyDescent="0.2">
      <c r="A14" s="34" t="s">
        <v>86</v>
      </c>
      <c r="B14" s="35">
        <v>0</v>
      </c>
      <c r="C14" s="35" t="s">
        <v>87</v>
      </c>
      <c r="D14" s="35">
        <v>0</v>
      </c>
      <c r="E14" s="35">
        <v>0</v>
      </c>
      <c r="F14" s="35">
        <v>0</v>
      </c>
      <c r="G14" s="35">
        <v>0</v>
      </c>
      <c r="H14" s="35">
        <v>0</v>
      </c>
      <c r="I14" s="35">
        <v>0</v>
      </c>
      <c r="J14" s="35">
        <v>0</v>
      </c>
      <c r="K14" s="35">
        <v>0</v>
      </c>
      <c r="L14" s="35">
        <v>0</v>
      </c>
      <c r="M14" s="37">
        <v>0</v>
      </c>
      <c r="N14" s="35">
        <v>0</v>
      </c>
      <c r="O14" s="35">
        <v>0</v>
      </c>
      <c r="P14" s="35">
        <v>0</v>
      </c>
      <c r="Q14" s="35">
        <v>0</v>
      </c>
      <c r="R14" s="35">
        <v>0</v>
      </c>
      <c r="S14" s="35">
        <v>0</v>
      </c>
      <c r="T14" s="35">
        <v>0</v>
      </c>
      <c r="U14" s="35">
        <v>0</v>
      </c>
      <c r="V14" s="37">
        <v>0</v>
      </c>
      <c r="W14" s="35">
        <v>0</v>
      </c>
      <c r="X14" s="35">
        <v>0</v>
      </c>
      <c r="Y14" s="35">
        <v>0</v>
      </c>
      <c r="Z14" s="35">
        <v>0</v>
      </c>
      <c r="AA14" s="35">
        <v>0</v>
      </c>
      <c r="AB14" s="35">
        <v>0</v>
      </c>
      <c r="AC14" s="35">
        <v>0</v>
      </c>
      <c r="AD14" s="35">
        <v>0</v>
      </c>
      <c r="AE14" s="35">
        <v>0</v>
      </c>
      <c r="AF14" s="35">
        <v>0</v>
      </c>
      <c r="AG14" s="35">
        <v>0</v>
      </c>
      <c r="AH14" s="35">
        <v>0</v>
      </c>
      <c r="AI14" s="35">
        <v>0</v>
      </c>
      <c r="AJ14" s="35">
        <v>0</v>
      </c>
      <c r="AK14" s="35">
        <v>0</v>
      </c>
      <c r="AL14" s="35">
        <v>0</v>
      </c>
      <c r="AM14" s="35">
        <v>0</v>
      </c>
      <c r="AN14" s="35">
        <v>0</v>
      </c>
      <c r="AO14" s="35">
        <v>0</v>
      </c>
      <c r="AP14" s="35">
        <v>0</v>
      </c>
      <c r="AQ14" s="35">
        <v>0</v>
      </c>
      <c r="AR14" s="35">
        <v>0</v>
      </c>
      <c r="AS14" s="35">
        <v>0</v>
      </c>
      <c r="AT14" s="35">
        <v>0</v>
      </c>
      <c r="AU14" s="35"/>
      <c r="AV14" s="35"/>
      <c r="AW14" s="35"/>
      <c r="AX14" s="35"/>
      <c r="AY14" s="35"/>
      <c r="AZ14" s="35"/>
      <c r="BA14" s="35">
        <v>0</v>
      </c>
      <c r="BB14" s="35">
        <v>0</v>
      </c>
      <c r="BC14" s="35">
        <v>0</v>
      </c>
      <c r="BD14" s="35">
        <v>0</v>
      </c>
      <c r="BE14" s="35">
        <v>0</v>
      </c>
    </row>
    <row r="15" spans="1:63" hidden="1" outlineLevel="1" x14ac:dyDescent="0.2">
      <c r="A15" s="34" t="s">
        <v>88</v>
      </c>
      <c r="B15" s="35">
        <v>164306.04149999889</v>
      </c>
      <c r="C15" s="35" t="s">
        <v>87</v>
      </c>
      <c r="D15" s="35">
        <v>7822.0749999999971</v>
      </c>
      <c r="E15" s="35">
        <v>156483.96649999969</v>
      </c>
      <c r="F15" s="35">
        <v>0</v>
      </c>
      <c r="G15" s="35">
        <v>0</v>
      </c>
      <c r="H15" s="35">
        <v>0</v>
      </c>
      <c r="I15" s="35">
        <v>0</v>
      </c>
      <c r="J15" s="35">
        <v>0</v>
      </c>
      <c r="K15" s="35">
        <v>0</v>
      </c>
      <c r="L15" s="35">
        <v>0</v>
      </c>
      <c r="M15" s="35">
        <v>88004.01</v>
      </c>
      <c r="N15" s="35">
        <v>0</v>
      </c>
      <c r="O15" s="35">
        <v>-3309</v>
      </c>
      <c r="P15" s="35">
        <v>0</v>
      </c>
      <c r="Q15" s="35">
        <v>0</v>
      </c>
      <c r="R15" s="35">
        <v>0</v>
      </c>
      <c r="S15" s="35">
        <v>0</v>
      </c>
      <c r="T15" s="35">
        <v>0</v>
      </c>
      <c r="U15" s="35">
        <v>0</v>
      </c>
      <c r="V15" s="35">
        <v>-88004.01</v>
      </c>
      <c r="W15" s="35">
        <v>-308603.56728538289</v>
      </c>
      <c r="X15" s="35">
        <v>0</v>
      </c>
      <c r="Y15" s="35">
        <v>0</v>
      </c>
      <c r="Z15" s="35">
        <v>0</v>
      </c>
      <c r="AA15" s="35">
        <v>0</v>
      </c>
      <c r="AB15" s="35">
        <v>-308603.56728538277</v>
      </c>
      <c r="AC15" s="35">
        <v>-3.0275800000000002E-3</v>
      </c>
      <c r="AD15" s="35">
        <v>0</v>
      </c>
      <c r="AE15" s="35">
        <v>1.8189894035458601E-12</v>
      </c>
      <c r="AF15" s="35">
        <v>1.16415321826935E-10</v>
      </c>
      <c r="AG15" s="35">
        <v>-1.13686837721616E-13</v>
      </c>
      <c r="AH15" s="35">
        <v>0</v>
      </c>
      <c r="AI15" s="35">
        <v>0</v>
      </c>
      <c r="AJ15" s="35">
        <v>0</v>
      </c>
      <c r="AK15" s="35">
        <v>-5.8207660913467401E-11</v>
      </c>
      <c r="AL15" s="35">
        <v>3.6379788070917101E-12</v>
      </c>
      <c r="AM15" s="35">
        <v>0</v>
      </c>
      <c r="AN15" s="35">
        <v>4253.9954766000001</v>
      </c>
      <c r="AO15" s="35">
        <v>17195.366607600001</v>
      </c>
      <c r="AP15" s="35">
        <v>-1.8189894035458601E-12</v>
      </c>
      <c r="AQ15" s="35">
        <v>2.8421709430404002E-13</v>
      </c>
      <c r="AR15" s="35">
        <v>0</v>
      </c>
      <c r="AS15" s="35">
        <v>-1.7670329725660801E-4</v>
      </c>
      <c r="AT15" s="35">
        <v>0</v>
      </c>
      <c r="AU15" s="35">
        <v>0</v>
      </c>
      <c r="AV15" s="35">
        <v>0</v>
      </c>
      <c r="AW15" s="35">
        <v>0</v>
      </c>
      <c r="AX15" s="35">
        <v>0</v>
      </c>
      <c r="AY15" s="35">
        <v>0</v>
      </c>
      <c r="AZ15" s="35">
        <v>0</v>
      </c>
      <c r="BA15" s="35">
        <v>0</v>
      </c>
      <c r="BB15" s="35">
        <v>0</v>
      </c>
      <c r="BC15" s="35">
        <v>0</v>
      </c>
      <c r="BD15" s="35">
        <v>14760831.3961032</v>
      </c>
      <c r="BE15" s="35">
        <v>0</v>
      </c>
    </row>
    <row r="16" spans="1:63" hidden="1" outlineLevel="1" x14ac:dyDescent="0.2">
      <c r="A16" s="34"/>
      <c r="B16" s="35"/>
      <c r="C16" s="35"/>
      <c r="D16" s="35"/>
      <c r="E16" s="35"/>
      <c r="F16" s="35"/>
      <c r="G16" s="35"/>
      <c r="H16" s="35"/>
      <c r="I16" s="35"/>
      <c r="J16" s="35"/>
      <c r="K16" s="35"/>
      <c r="L16" s="35"/>
      <c r="M16" s="37"/>
      <c r="N16" s="35"/>
      <c r="O16" s="35"/>
      <c r="P16" s="35"/>
      <c r="Q16" s="35"/>
      <c r="R16" s="35"/>
      <c r="S16" s="35"/>
      <c r="T16" s="35"/>
      <c r="U16" s="35"/>
      <c r="V16" s="37"/>
      <c r="W16" s="35"/>
      <c r="X16" s="35"/>
      <c r="Y16" s="35"/>
      <c r="Z16" s="35"/>
      <c r="AA16" s="35"/>
      <c r="AB16" s="35"/>
      <c r="AC16" s="35"/>
      <c r="AD16" s="35"/>
      <c r="AE16" s="35"/>
      <c r="AF16" s="35"/>
      <c r="AG16" s="35"/>
      <c r="AH16" s="35"/>
      <c r="AI16" s="35"/>
      <c r="AJ16" s="35"/>
      <c r="AK16" s="35"/>
      <c r="AL16" s="35"/>
      <c r="AM16" s="35"/>
      <c r="AN16" s="35"/>
      <c r="AO16" s="35"/>
      <c r="AP16" s="35"/>
      <c r="AQ16" s="35"/>
      <c r="AR16" s="35"/>
      <c r="AS16" s="35"/>
      <c r="AT16" s="35"/>
      <c r="AU16" s="35"/>
      <c r="AV16" s="35"/>
      <c r="AW16" s="35"/>
      <c r="AX16" s="35"/>
      <c r="AY16" s="35"/>
      <c r="AZ16" s="35"/>
      <c r="BA16" s="35"/>
      <c r="BB16" s="35"/>
      <c r="BC16" s="35"/>
      <c r="BD16" s="35"/>
      <c r="BE16" s="35"/>
    </row>
    <row r="17" spans="1:57" hidden="1" outlineLevel="1" x14ac:dyDescent="0.2">
      <c r="A17" s="38" t="s">
        <v>89</v>
      </c>
      <c r="B17" s="35">
        <v>-3221727.6258999999</v>
      </c>
      <c r="C17" s="35">
        <v>0</v>
      </c>
      <c r="D17" s="35">
        <v>-68315.691999999995</v>
      </c>
      <c r="E17" s="35">
        <v>-3153411.9339000001</v>
      </c>
      <c r="F17" s="35">
        <v>0</v>
      </c>
      <c r="G17" s="35">
        <v>0</v>
      </c>
      <c r="H17" s="35">
        <v>0</v>
      </c>
      <c r="I17" s="35">
        <v>0</v>
      </c>
      <c r="J17" s="35">
        <v>50250.383099999992</v>
      </c>
      <c r="K17" s="35">
        <v>0</v>
      </c>
      <c r="L17" s="35">
        <v>0</v>
      </c>
      <c r="M17" s="37">
        <v>17680.580000000002</v>
      </c>
      <c r="N17" s="35">
        <v>0</v>
      </c>
      <c r="O17" s="35">
        <v>19054</v>
      </c>
      <c r="P17" s="35">
        <v>0</v>
      </c>
      <c r="Q17" s="35">
        <v>-237996</v>
      </c>
      <c r="R17" s="35">
        <v>0</v>
      </c>
      <c r="S17" s="35">
        <v>0</v>
      </c>
      <c r="T17" s="35">
        <v>0</v>
      </c>
      <c r="U17" s="35">
        <v>0</v>
      </c>
      <c r="V17" s="37">
        <v>-72313.597500000003</v>
      </c>
      <c r="W17" s="35">
        <v>-905518.29225599999</v>
      </c>
      <c r="X17" s="35">
        <v>-905518.29225599999</v>
      </c>
      <c r="Y17" s="35">
        <v>0</v>
      </c>
      <c r="Z17" s="35">
        <v>0</v>
      </c>
      <c r="AA17" s="35">
        <v>0</v>
      </c>
      <c r="AB17" s="35">
        <v>0</v>
      </c>
      <c r="AC17" s="35">
        <v>0.02</v>
      </c>
      <c r="AD17" s="35">
        <v>0</v>
      </c>
      <c r="AE17" s="35">
        <v>13823.28781537778</v>
      </c>
      <c r="AF17" s="35">
        <v>374654.65872658382</v>
      </c>
      <c r="AG17" s="35">
        <v>0</v>
      </c>
      <c r="AH17" s="35">
        <v>0</v>
      </c>
      <c r="AI17" s="35">
        <v>73443.15394795555</v>
      </c>
      <c r="AJ17" s="35">
        <v>27522.878340320989</v>
      </c>
      <c r="AK17" s="35">
        <v>284146.83222546207</v>
      </c>
      <c r="AL17" s="35">
        <v>175074.86987065259</v>
      </c>
      <c r="AM17" s="35">
        <v>0</v>
      </c>
      <c r="AN17" s="35">
        <v>4832.8996462296291</v>
      </c>
      <c r="AO17" s="35">
        <v>12480.09358226666</v>
      </c>
      <c r="AP17" s="35">
        <v>20868.561513738459</v>
      </c>
      <c r="AQ17" s="35">
        <v>4156.6356091500002</v>
      </c>
      <c r="AR17" s="35">
        <v>0</v>
      </c>
      <c r="AS17" s="35">
        <v>0</v>
      </c>
      <c r="AT17" s="35">
        <v>0</v>
      </c>
      <c r="AU17" s="35">
        <v>-109374.5454545454</v>
      </c>
      <c r="AV17" s="35">
        <v>-9894.6540000000005</v>
      </c>
      <c r="AW17" s="35">
        <v>0</v>
      </c>
      <c r="AX17" s="35">
        <v>-1915.2</v>
      </c>
      <c r="AY17" s="35">
        <v>0</v>
      </c>
      <c r="AZ17" s="35">
        <v>-116.02079999999999</v>
      </c>
      <c r="BA17" s="35">
        <v>0</v>
      </c>
      <c r="BB17" s="35">
        <v>0</v>
      </c>
      <c r="BC17" s="35">
        <v>0</v>
      </c>
      <c r="BD17" s="35">
        <v>-844563.02400000009</v>
      </c>
      <c r="BE17" s="35">
        <v>0</v>
      </c>
    </row>
    <row r="18" spans="1:57" hidden="1" outlineLevel="1" x14ac:dyDescent="0.2">
      <c r="A18" s="34" t="s">
        <v>90</v>
      </c>
      <c r="B18" s="35">
        <v>-2155476.5438999999</v>
      </c>
      <c r="C18" s="35">
        <v>0</v>
      </c>
      <c r="D18" s="35">
        <v>0</v>
      </c>
      <c r="E18" s="35">
        <v>-2155476.5438999999</v>
      </c>
      <c r="F18" s="35">
        <v>0</v>
      </c>
      <c r="G18" s="35">
        <v>0</v>
      </c>
      <c r="H18" s="35">
        <v>0</v>
      </c>
      <c r="I18" s="35">
        <v>0</v>
      </c>
      <c r="J18" s="35">
        <v>0</v>
      </c>
      <c r="K18" s="35">
        <v>0</v>
      </c>
      <c r="L18" s="35">
        <v>0</v>
      </c>
      <c r="M18" s="37">
        <v>0</v>
      </c>
      <c r="N18" s="35">
        <v>0</v>
      </c>
      <c r="O18" s="35">
        <v>0</v>
      </c>
      <c r="P18" s="35">
        <v>0</v>
      </c>
      <c r="Q18" s="35">
        <v>0</v>
      </c>
      <c r="R18" s="35">
        <v>0</v>
      </c>
      <c r="S18" s="35">
        <v>0</v>
      </c>
      <c r="T18" s="35">
        <v>0</v>
      </c>
      <c r="U18" s="35">
        <v>0</v>
      </c>
      <c r="V18" s="37">
        <v>0</v>
      </c>
      <c r="W18" s="35">
        <v>0</v>
      </c>
      <c r="X18" s="35">
        <v>0</v>
      </c>
      <c r="Y18" s="35">
        <v>0</v>
      </c>
      <c r="Z18" s="35">
        <v>0</v>
      </c>
      <c r="AA18" s="35">
        <v>0</v>
      </c>
      <c r="AB18" s="35">
        <v>0</v>
      </c>
      <c r="AC18" s="35">
        <v>0</v>
      </c>
      <c r="AD18" s="35">
        <v>0</v>
      </c>
      <c r="AE18" s="35">
        <v>0</v>
      </c>
      <c r="AF18" s="35">
        <v>0</v>
      </c>
      <c r="AG18" s="35">
        <v>0</v>
      </c>
      <c r="AH18" s="35">
        <v>0</v>
      </c>
      <c r="AI18" s="35">
        <v>0</v>
      </c>
      <c r="AJ18" s="35">
        <v>0</v>
      </c>
      <c r="AK18" s="35">
        <v>0</v>
      </c>
      <c r="AL18" s="35">
        <v>0</v>
      </c>
      <c r="AM18" s="35">
        <v>0</v>
      </c>
      <c r="AN18" s="35">
        <v>0</v>
      </c>
      <c r="AO18" s="35">
        <v>0</v>
      </c>
      <c r="AP18" s="35">
        <v>0</v>
      </c>
      <c r="AQ18" s="35">
        <v>0</v>
      </c>
      <c r="AR18" s="35">
        <v>0</v>
      </c>
      <c r="AS18" s="35">
        <v>0</v>
      </c>
      <c r="AT18" s="35">
        <v>0</v>
      </c>
      <c r="AU18" s="35">
        <v>-109374.5454545454</v>
      </c>
      <c r="AV18" s="35">
        <v>-9255.2219999999998</v>
      </c>
      <c r="AW18" s="35">
        <v>0</v>
      </c>
      <c r="AX18" s="35">
        <v>-1915.2</v>
      </c>
      <c r="AY18" s="35">
        <v>0</v>
      </c>
      <c r="AZ18" s="35">
        <v>-116.02079999999999</v>
      </c>
      <c r="BA18" s="35">
        <v>0</v>
      </c>
      <c r="BB18" s="35">
        <v>0</v>
      </c>
      <c r="BC18" s="35">
        <v>0</v>
      </c>
      <c r="BD18" s="35">
        <v>-819169.64280000003</v>
      </c>
      <c r="BE18" s="35"/>
    </row>
    <row r="19" spans="1:57" hidden="1" outlineLevel="1" x14ac:dyDescent="0.2">
      <c r="A19" s="34" t="s">
        <v>91</v>
      </c>
      <c r="B19" s="35">
        <v>-39627.30599999999</v>
      </c>
      <c r="C19" s="35">
        <v>0</v>
      </c>
      <c r="D19" s="35">
        <v>0</v>
      </c>
      <c r="E19" s="35">
        <v>-39627.30599999999</v>
      </c>
      <c r="F19" s="35">
        <v>0</v>
      </c>
      <c r="G19" s="35">
        <v>0</v>
      </c>
      <c r="H19" s="35">
        <v>0</v>
      </c>
      <c r="I19" s="35">
        <v>0</v>
      </c>
      <c r="J19" s="35">
        <v>0</v>
      </c>
      <c r="K19" s="35">
        <v>0</v>
      </c>
      <c r="L19" s="35">
        <v>0</v>
      </c>
      <c r="M19" s="37">
        <v>0</v>
      </c>
      <c r="N19" s="35">
        <v>0</v>
      </c>
      <c r="O19" s="35">
        <v>0</v>
      </c>
      <c r="P19" s="35">
        <v>0</v>
      </c>
      <c r="Q19" s="35">
        <v>0</v>
      </c>
      <c r="R19" s="35">
        <v>0</v>
      </c>
      <c r="S19" s="35">
        <v>0</v>
      </c>
      <c r="T19" s="35">
        <v>0</v>
      </c>
      <c r="U19" s="35">
        <v>0</v>
      </c>
      <c r="V19" s="37">
        <v>0</v>
      </c>
      <c r="W19" s="35">
        <v>0</v>
      </c>
      <c r="X19" s="35">
        <v>0</v>
      </c>
      <c r="Y19" s="35">
        <v>0</v>
      </c>
      <c r="Z19" s="35">
        <v>0</v>
      </c>
      <c r="AA19" s="35">
        <v>0</v>
      </c>
      <c r="AB19" s="35">
        <v>0</v>
      </c>
      <c r="AC19" s="35">
        <v>0</v>
      </c>
      <c r="AD19" s="35">
        <v>0</v>
      </c>
      <c r="AE19" s="35">
        <v>0</v>
      </c>
      <c r="AF19" s="35">
        <v>0</v>
      </c>
      <c r="AG19" s="35">
        <v>0</v>
      </c>
      <c r="AH19" s="35">
        <v>0</v>
      </c>
      <c r="AI19" s="35">
        <v>0</v>
      </c>
      <c r="AJ19" s="35">
        <v>0</v>
      </c>
      <c r="AK19" s="35">
        <v>0</v>
      </c>
      <c r="AL19" s="35">
        <v>0</v>
      </c>
      <c r="AM19" s="35">
        <v>0</v>
      </c>
      <c r="AN19" s="35">
        <v>0</v>
      </c>
      <c r="AO19" s="35">
        <v>0</v>
      </c>
      <c r="AP19" s="35">
        <v>0</v>
      </c>
      <c r="AQ19" s="35">
        <v>0</v>
      </c>
      <c r="AR19" s="35">
        <v>0</v>
      </c>
      <c r="AS19" s="35">
        <v>0</v>
      </c>
      <c r="AT19" s="35">
        <v>0</v>
      </c>
      <c r="AU19" s="35">
        <v>0</v>
      </c>
      <c r="AV19" s="35">
        <v>-639.43200000000002</v>
      </c>
      <c r="AW19" s="35">
        <v>0</v>
      </c>
      <c r="AX19" s="35">
        <v>0</v>
      </c>
      <c r="AY19" s="35">
        <v>0</v>
      </c>
      <c r="AZ19" s="35">
        <v>0</v>
      </c>
      <c r="BA19" s="35">
        <v>0</v>
      </c>
      <c r="BB19" s="35">
        <v>0</v>
      </c>
      <c r="BC19" s="35">
        <v>0</v>
      </c>
      <c r="BD19" s="35">
        <v>-24659.049599999998</v>
      </c>
      <c r="BE19" s="35"/>
    </row>
    <row r="20" spans="1:57" hidden="1" outlineLevel="1" x14ac:dyDescent="0.2">
      <c r="A20" s="34" t="s">
        <v>92</v>
      </c>
      <c r="B20" s="35">
        <v>0</v>
      </c>
      <c r="C20" s="35">
        <v>0</v>
      </c>
      <c r="D20" s="35">
        <v>0</v>
      </c>
      <c r="E20" s="35">
        <v>0</v>
      </c>
      <c r="F20" s="35">
        <v>0</v>
      </c>
      <c r="G20" s="35">
        <v>0</v>
      </c>
      <c r="H20" s="35">
        <v>0</v>
      </c>
      <c r="I20" s="35">
        <v>0</v>
      </c>
      <c r="J20" s="35">
        <v>0</v>
      </c>
      <c r="K20" s="35">
        <v>0</v>
      </c>
      <c r="L20" s="35">
        <v>0</v>
      </c>
      <c r="M20" s="37">
        <v>0</v>
      </c>
      <c r="N20" s="35">
        <v>0</v>
      </c>
      <c r="O20" s="35">
        <v>0</v>
      </c>
      <c r="P20" s="35">
        <v>0</v>
      </c>
      <c r="Q20" s="35">
        <v>0</v>
      </c>
      <c r="R20" s="35">
        <v>0</v>
      </c>
      <c r="S20" s="35">
        <v>0</v>
      </c>
      <c r="T20" s="35">
        <v>0</v>
      </c>
      <c r="U20" s="35">
        <v>0</v>
      </c>
      <c r="V20" s="37">
        <v>0</v>
      </c>
      <c r="W20" s="35">
        <v>0</v>
      </c>
      <c r="X20" s="35">
        <v>0</v>
      </c>
      <c r="Y20" s="35">
        <v>0</v>
      </c>
      <c r="Z20" s="35">
        <v>0</v>
      </c>
      <c r="AA20" s="35">
        <v>0</v>
      </c>
      <c r="AB20" s="35">
        <v>0</v>
      </c>
      <c r="AC20" s="35">
        <v>0</v>
      </c>
      <c r="AD20" s="35">
        <v>0</v>
      </c>
      <c r="AE20" s="35">
        <v>0</v>
      </c>
      <c r="AF20" s="35">
        <v>0</v>
      </c>
      <c r="AG20" s="35">
        <v>0</v>
      </c>
      <c r="AH20" s="35">
        <v>0</v>
      </c>
      <c r="AI20" s="35">
        <v>0</v>
      </c>
      <c r="AJ20" s="35">
        <v>0</v>
      </c>
      <c r="AK20" s="35">
        <v>0</v>
      </c>
      <c r="AL20" s="35">
        <v>0</v>
      </c>
      <c r="AM20" s="35">
        <v>0</v>
      </c>
      <c r="AN20" s="35">
        <v>0</v>
      </c>
      <c r="AO20" s="35">
        <v>0</v>
      </c>
      <c r="AP20" s="35">
        <v>0</v>
      </c>
      <c r="AQ20" s="35">
        <v>0</v>
      </c>
      <c r="AR20" s="35">
        <v>0</v>
      </c>
      <c r="AS20" s="35">
        <v>0</v>
      </c>
      <c r="AT20" s="35">
        <v>0</v>
      </c>
      <c r="AU20" s="35">
        <v>0</v>
      </c>
      <c r="AV20" s="35">
        <v>0</v>
      </c>
      <c r="AW20" s="35">
        <v>0</v>
      </c>
      <c r="AX20" s="35">
        <v>0</v>
      </c>
      <c r="AY20" s="35">
        <v>0</v>
      </c>
      <c r="AZ20" s="35">
        <v>0</v>
      </c>
      <c r="BA20" s="35">
        <v>0</v>
      </c>
      <c r="BB20" s="35">
        <v>0</v>
      </c>
      <c r="BC20" s="35">
        <v>0</v>
      </c>
      <c r="BD20" s="35">
        <v>0</v>
      </c>
      <c r="BE20" s="35">
        <v>0</v>
      </c>
    </row>
    <row r="21" spans="1:57" hidden="1" outlineLevel="1" x14ac:dyDescent="0.2">
      <c r="A21" s="34" t="s">
        <v>93</v>
      </c>
      <c r="B21" s="35">
        <v>0</v>
      </c>
      <c r="C21" s="35">
        <v>0</v>
      </c>
      <c r="D21" s="35">
        <v>0</v>
      </c>
      <c r="E21" s="35">
        <v>0</v>
      </c>
      <c r="F21" s="35">
        <v>0</v>
      </c>
      <c r="G21" s="35">
        <v>0</v>
      </c>
      <c r="H21" s="35">
        <v>0</v>
      </c>
      <c r="I21" s="35">
        <v>0</v>
      </c>
      <c r="J21" s="35">
        <v>0</v>
      </c>
      <c r="K21" s="35">
        <v>0</v>
      </c>
      <c r="L21" s="35">
        <v>0</v>
      </c>
      <c r="M21" s="37">
        <v>0</v>
      </c>
      <c r="N21" s="35">
        <v>0</v>
      </c>
      <c r="O21" s="35">
        <v>0</v>
      </c>
      <c r="P21" s="35">
        <v>0</v>
      </c>
      <c r="Q21" s="35">
        <v>-237996</v>
      </c>
      <c r="R21" s="35">
        <v>0</v>
      </c>
      <c r="S21" s="35">
        <v>0</v>
      </c>
      <c r="T21" s="35">
        <v>0</v>
      </c>
      <c r="U21" s="35">
        <v>0</v>
      </c>
      <c r="V21" s="37">
        <v>0</v>
      </c>
      <c r="W21" s="35">
        <v>0</v>
      </c>
      <c r="X21" s="35">
        <v>0</v>
      </c>
      <c r="Y21" s="35">
        <v>0</v>
      </c>
      <c r="Z21" s="35">
        <v>0</v>
      </c>
      <c r="AA21" s="35">
        <v>0</v>
      </c>
      <c r="AB21" s="35">
        <v>0</v>
      </c>
      <c r="AC21" s="35">
        <v>0</v>
      </c>
      <c r="AD21" s="35">
        <v>0</v>
      </c>
      <c r="AE21" s="35">
        <v>0</v>
      </c>
      <c r="AF21" s="35">
        <v>0</v>
      </c>
      <c r="AG21" s="35">
        <v>0</v>
      </c>
      <c r="AH21" s="35">
        <v>0</v>
      </c>
      <c r="AI21" s="35">
        <v>0</v>
      </c>
      <c r="AJ21" s="35">
        <v>0</v>
      </c>
      <c r="AK21" s="35">
        <v>0</v>
      </c>
      <c r="AL21" s="35">
        <v>0</v>
      </c>
      <c r="AM21" s="35">
        <v>0</v>
      </c>
      <c r="AN21" s="35">
        <v>0</v>
      </c>
      <c r="AO21" s="35">
        <v>0</v>
      </c>
      <c r="AP21" s="35">
        <v>0</v>
      </c>
      <c r="AQ21" s="35">
        <v>0</v>
      </c>
      <c r="AR21" s="35">
        <v>0</v>
      </c>
      <c r="AS21" s="35">
        <v>0</v>
      </c>
      <c r="AT21" s="35">
        <v>0</v>
      </c>
      <c r="AU21" s="35">
        <v>0</v>
      </c>
      <c r="AV21" s="35">
        <v>0</v>
      </c>
      <c r="AW21" s="35">
        <v>0</v>
      </c>
      <c r="AX21" s="35">
        <v>0</v>
      </c>
      <c r="AY21" s="35">
        <v>0</v>
      </c>
      <c r="AZ21" s="35">
        <v>0</v>
      </c>
      <c r="BA21" s="35">
        <v>0</v>
      </c>
      <c r="BB21" s="35">
        <v>0</v>
      </c>
      <c r="BC21" s="35">
        <v>0</v>
      </c>
      <c r="BD21" s="35">
        <v>-734.33159999999998</v>
      </c>
      <c r="BE21" s="35">
        <v>0</v>
      </c>
    </row>
    <row r="22" spans="1:57" hidden="1" outlineLevel="1" x14ac:dyDescent="0.2">
      <c r="A22" s="34" t="s">
        <v>94</v>
      </c>
      <c r="B22" s="35">
        <v>0</v>
      </c>
      <c r="C22" s="35">
        <v>0</v>
      </c>
      <c r="D22" s="35">
        <v>0</v>
      </c>
      <c r="E22" s="35">
        <v>0</v>
      </c>
      <c r="F22" s="35">
        <v>0</v>
      </c>
      <c r="G22" s="35">
        <v>0</v>
      </c>
      <c r="H22" s="35">
        <v>0</v>
      </c>
      <c r="I22" s="35">
        <v>0</v>
      </c>
      <c r="J22" s="35">
        <v>0</v>
      </c>
      <c r="K22" s="35">
        <v>0</v>
      </c>
      <c r="L22" s="35">
        <v>0</v>
      </c>
      <c r="M22" s="37">
        <v>0</v>
      </c>
      <c r="N22" s="35">
        <v>0</v>
      </c>
      <c r="O22" s="35">
        <v>0</v>
      </c>
      <c r="P22" s="35">
        <v>0</v>
      </c>
      <c r="Q22" s="35">
        <v>0</v>
      </c>
      <c r="R22" s="35">
        <v>0</v>
      </c>
      <c r="S22" s="35">
        <v>0</v>
      </c>
      <c r="T22" s="35">
        <v>0</v>
      </c>
      <c r="U22" s="35">
        <v>0</v>
      </c>
      <c r="V22" s="37">
        <v>0</v>
      </c>
      <c r="W22" s="35">
        <v>0</v>
      </c>
      <c r="X22" s="35">
        <v>0</v>
      </c>
      <c r="Y22" s="35">
        <v>0</v>
      </c>
      <c r="Z22" s="35">
        <v>0</v>
      </c>
      <c r="AA22" s="35">
        <v>0</v>
      </c>
      <c r="AB22" s="35">
        <v>0</v>
      </c>
      <c r="AC22" s="35">
        <v>0</v>
      </c>
      <c r="AD22" s="35">
        <v>0</v>
      </c>
      <c r="AE22" s="35">
        <v>0</v>
      </c>
      <c r="AF22" s="35">
        <v>0</v>
      </c>
      <c r="AG22" s="35">
        <v>0</v>
      </c>
      <c r="AH22" s="35">
        <v>0</v>
      </c>
      <c r="AI22" s="35">
        <v>0</v>
      </c>
      <c r="AJ22" s="35">
        <v>0</v>
      </c>
      <c r="AK22" s="35">
        <v>0</v>
      </c>
      <c r="AL22" s="35">
        <v>0</v>
      </c>
      <c r="AM22" s="35">
        <v>0</v>
      </c>
      <c r="AN22" s="35">
        <v>0</v>
      </c>
      <c r="AO22" s="35">
        <v>0</v>
      </c>
      <c r="AP22" s="35">
        <v>0</v>
      </c>
      <c r="AQ22" s="35">
        <v>0</v>
      </c>
      <c r="AR22" s="35">
        <v>0</v>
      </c>
      <c r="AS22" s="35">
        <v>0</v>
      </c>
      <c r="AT22" s="35">
        <v>0</v>
      </c>
      <c r="AU22" s="35"/>
      <c r="AV22" s="35"/>
      <c r="AW22" s="35"/>
      <c r="AX22" s="35"/>
      <c r="AY22" s="35"/>
      <c r="AZ22" s="35"/>
      <c r="BA22" s="35">
        <v>0</v>
      </c>
      <c r="BB22" s="35">
        <v>0</v>
      </c>
      <c r="BC22" s="35">
        <v>0</v>
      </c>
      <c r="BD22" s="35">
        <v>0</v>
      </c>
      <c r="BE22" s="35">
        <v>0</v>
      </c>
    </row>
    <row r="23" spans="1:57" hidden="1" outlineLevel="1" x14ac:dyDescent="0.2">
      <c r="A23" s="34" t="s">
        <v>95</v>
      </c>
      <c r="B23" s="35">
        <v>0</v>
      </c>
      <c r="C23" s="35">
        <v>0</v>
      </c>
      <c r="D23" s="35">
        <v>0</v>
      </c>
      <c r="E23" s="35">
        <v>0</v>
      </c>
      <c r="F23" s="35">
        <v>0</v>
      </c>
      <c r="G23" s="35">
        <v>0</v>
      </c>
      <c r="H23" s="35">
        <v>0</v>
      </c>
      <c r="I23" s="35">
        <v>0</v>
      </c>
      <c r="J23" s="35">
        <v>0</v>
      </c>
      <c r="K23" s="35">
        <v>0</v>
      </c>
      <c r="L23" s="35">
        <v>0</v>
      </c>
      <c r="M23" s="37">
        <v>0</v>
      </c>
      <c r="N23" s="35">
        <v>0</v>
      </c>
      <c r="O23" s="35">
        <v>0</v>
      </c>
      <c r="P23" s="35">
        <v>0</v>
      </c>
      <c r="Q23" s="35">
        <v>0</v>
      </c>
      <c r="R23" s="35">
        <v>0</v>
      </c>
      <c r="S23" s="35">
        <v>0</v>
      </c>
      <c r="T23" s="35">
        <v>0</v>
      </c>
      <c r="U23" s="35">
        <v>0</v>
      </c>
      <c r="V23" s="37">
        <v>0</v>
      </c>
      <c r="W23" s="35">
        <v>0</v>
      </c>
      <c r="X23" s="35">
        <v>0</v>
      </c>
      <c r="Y23" s="35">
        <v>0</v>
      </c>
      <c r="Z23" s="35">
        <v>0</v>
      </c>
      <c r="AA23" s="35">
        <v>0</v>
      </c>
      <c r="AB23" s="35">
        <v>0</v>
      </c>
      <c r="AC23" s="35">
        <v>0</v>
      </c>
      <c r="AD23" s="35">
        <v>0</v>
      </c>
      <c r="AE23" s="35">
        <v>0</v>
      </c>
      <c r="AF23" s="35">
        <v>0</v>
      </c>
      <c r="AG23" s="35">
        <v>0</v>
      </c>
      <c r="AH23" s="35">
        <v>0</v>
      </c>
      <c r="AI23" s="35">
        <v>0</v>
      </c>
      <c r="AJ23" s="35">
        <v>0</v>
      </c>
      <c r="AK23" s="35">
        <v>0</v>
      </c>
      <c r="AL23" s="35">
        <v>0</v>
      </c>
      <c r="AM23" s="35">
        <v>0</v>
      </c>
      <c r="AN23" s="35">
        <v>0</v>
      </c>
      <c r="AO23" s="35">
        <v>0</v>
      </c>
      <c r="AP23" s="35">
        <v>0</v>
      </c>
      <c r="AQ23" s="35">
        <v>0</v>
      </c>
      <c r="AR23" s="35">
        <v>0</v>
      </c>
      <c r="AS23" s="35">
        <v>0</v>
      </c>
      <c r="AT23" s="35">
        <v>0</v>
      </c>
      <c r="AU23" s="35"/>
      <c r="AV23" s="35"/>
      <c r="AW23" s="35"/>
      <c r="AX23" s="35"/>
      <c r="AY23" s="35"/>
      <c r="AZ23" s="35"/>
      <c r="BA23" s="35">
        <v>0</v>
      </c>
      <c r="BB23" s="35">
        <v>0</v>
      </c>
      <c r="BC23" s="35">
        <v>0</v>
      </c>
      <c r="BD23" s="35">
        <v>0</v>
      </c>
      <c r="BE23" s="35">
        <v>0</v>
      </c>
    </row>
    <row r="24" spans="1:57" hidden="1" outlineLevel="1" x14ac:dyDescent="0.2">
      <c r="A24" s="34" t="s">
        <v>96</v>
      </c>
      <c r="B24" s="35">
        <v>0</v>
      </c>
      <c r="C24" s="35">
        <v>0</v>
      </c>
      <c r="D24" s="35">
        <v>0</v>
      </c>
      <c r="E24" s="35">
        <v>0</v>
      </c>
      <c r="F24" s="35">
        <v>0</v>
      </c>
      <c r="G24" s="35">
        <v>0</v>
      </c>
      <c r="H24" s="35">
        <v>0</v>
      </c>
      <c r="I24" s="35">
        <v>0</v>
      </c>
      <c r="J24" s="35">
        <v>0</v>
      </c>
      <c r="K24" s="35">
        <v>0</v>
      </c>
      <c r="L24" s="35">
        <v>0</v>
      </c>
      <c r="M24" s="37">
        <v>0</v>
      </c>
      <c r="N24" s="35">
        <v>0</v>
      </c>
      <c r="O24" s="35">
        <v>0</v>
      </c>
      <c r="P24" s="35">
        <v>0</v>
      </c>
      <c r="Q24" s="35">
        <v>0</v>
      </c>
      <c r="R24" s="35">
        <v>0</v>
      </c>
      <c r="S24" s="35">
        <v>0</v>
      </c>
      <c r="T24" s="35">
        <v>0</v>
      </c>
      <c r="U24" s="35">
        <v>0</v>
      </c>
      <c r="V24" s="37">
        <v>0</v>
      </c>
      <c r="W24" s="35">
        <v>0</v>
      </c>
      <c r="X24" s="35">
        <v>0</v>
      </c>
      <c r="Y24" s="35">
        <v>0</v>
      </c>
      <c r="Z24" s="35">
        <v>0</v>
      </c>
      <c r="AA24" s="35">
        <v>0</v>
      </c>
      <c r="AB24" s="35">
        <v>0</v>
      </c>
      <c r="AC24" s="35">
        <v>0</v>
      </c>
      <c r="AD24" s="35">
        <v>0</v>
      </c>
      <c r="AE24" s="35">
        <v>0</v>
      </c>
      <c r="AF24" s="35">
        <v>0</v>
      </c>
      <c r="AG24" s="35">
        <v>0</v>
      </c>
      <c r="AH24" s="35">
        <v>0</v>
      </c>
      <c r="AI24" s="35">
        <v>0</v>
      </c>
      <c r="AJ24" s="35">
        <v>0</v>
      </c>
      <c r="AK24" s="35">
        <v>0</v>
      </c>
      <c r="AL24" s="35">
        <v>0</v>
      </c>
      <c r="AM24" s="35">
        <v>0</v>
      </c>
      <c r="AN24" s="35">
        <v>0</v>
      </c>
      <c r="AO24" s="35">
        <v>0</v>
      </c>
      <c r="AP24" s="35">
        <v>0</v>
      </c>
      <c r="AQ24" s="35">
        <v>0</v>
      </c>
      <c r="AR24" s="35">
        <v>0</v>
      </c>
      <c r="AS24" s="35">
        <v>0</v>
      </c>
      <c r="AT24" s="35">
        <v>0</v>
      </c>
      <c r="AU24" s="35"/>
      <c r="AV24" s="35"/>
      <c r="AW24" s="35"/>
      <c r="AX24" s="35"/>
      <c r="AY24" s="35"/>
      <c r="AZ24" s="35"/>
      <c r="BA24" s="35">
        <v>0</v>
      </c>
      <c r="BB24" s="35">
        <v>0</v>
      </c>
      <c r="BC24" s="35">
        <v>0</v>
      </c>
      <c r="BD24" s="35">
        <v>0</v>
      </c>
      <c r="BE24" s="35">
        <v>0</v>
      </c>
    </row>
    <row r="25" spans="1:57" hidden="1" outlineLevel="1" x14ac:dyDescent="0.2">
      <c r="A25" s="34" t="s">
        <v>97</v>
      </c>
      <c r="B25" s="35">
        <v>0</v>
      </c>
      <c r="C25" s="35">
        <v>0</v>
      </c>
      <c r="D25" s="35">
        <v>0</v>
      </c>
      <c r="E25" s="35">
        <v>0</v>
      </c>
      <c r="F25" s="35">
        <v>0</v>
      </c>
      <c r="G25" s="35">
        <v>0</v>
      </c>
      <c r="H25" s="35">
        <v>0</v>
      </c>
      <c r="I25" s="35">
        <v>0</v>
      </c>
      <c r="J25" s="35">
        <v>0</v>
      </c>
      <c r="K25" s="35">
        <v>0</v>
      </c>
      <c r="L25" s="35">
        <v>0</v>
      </c>
      <c r="M25" s="37">
        <v>0</v>
      </c>
      <c r="N25" s="35">
        <v>0</v>
      </c>
      <c r="O25" s="35">
        <v>0</v>
      </c>
      <c r="P25" s="35">
        <v>0</v>
      </c>
      <c r="Q25" s="35">
        <v>0</v>
      </c>
      <c r="R25" s="35">
        <v>0</v>
      </c>
      <c r="S25" s="35">
        <v>0</v>
      </c>
      <c r="T25" s="35">
        <v>0</v>
      </c>
      <c r="U25" s="35">
        <v>0</v>
      </c>
      <c r="V25" s="37">
        <v>0</v>
      </c>
      <c r="W25" s="35">
        <v>0</v>
      </c>
      <c r="X25" s="35">
        <v>0</v>
      </c>
      <c r="Y25" s="35">
        <v>0</v>
      </c>
      <c r="Z25" s="35">
        <v>0</v>
      </c>
      <c r="AA25" s="35">
        <v>0</v>
      </c>
      <c r="AB25" s="35">
        <v>0</v>
      </c>
      <c r="AC25" s="35">
        <v>0</v>
      </c>
      <c r="AD25" s="35">
        <v>0</v>
      </c>
      <c r="AE25" s="35">
        <v>0</v>
      </c>
      <c r="AF25" s="35">
        <v>0</v>
      </c>
      <c r="AG25" s="35">
        <v>0</v>
      </c>
      <c r="AH25" s="35">
        <v>0</v>
      </c>
      <c r="AI25" s="35">
        <v>0</v>
      </c>
      <c r="AJ25" s="35">
        <v>0</v>
      </c>
      <c r="AK25" s="35">
        <v>0</v>
      </c>
      <c r="AL25" s="35">
        <v>0</v>
      </c>
      <c r="AM25" s="35">
        <v>0</v>
      </c>
      <c r="AN25" s="35">
        <v>0</v>
      </c>
      <c r="AO25" s="35">
        <v>0</v>
      </c>
      <c r="AP25" s="35">
        <v>0</v>
      </c>
      <c r="AQ25" s="35">
        <v>0</v>
      </c>
      <c r="AR25" s="35">
        <v>0</v>
      </c>
      <c r="AS25" s="35">
        <v>0</v>
      </c>
      <c r="AT25" s="35">
        <v>0</v>
      </c>
      <c r="AU25" s="35"/>
      <c r="AV25" s="35"/>
      <c r="AW25" s="35"/>
      <c r="AX25" s="35"/>
      <c r="AY25" s="35"/>
      <c r="AZ25" s="35"/>
      <c r="BA25" s="35">
        <v>0</v>
      </c>
      <c r="BB25" s="35">
        <v>0</v>
      </c>
      <c r="BC25" s="35">
        <v>0</v>
      </c>
      <c r="BD25" s="35">
        <v>0</v>
      </c>
      <c r="BE25" s="35">
        <v>0</v>
      </c>
    </row>
    <row r="26" spans="1:57" hidden="1" outlineLevel="1" x14ac:dyDescent="0.2">
      <c r="A26" s="34" t="s">
        <v>98</v>
      </c>
      <c r="B26" s="35">
        <v>0</v>
      </c>
      <c r="C26" s="35">
        <v>0</v>
      </c>
      <c r="D26" s="35">
        <v>0</v>
      </c>
      <c r="E26" s="35">
        <v>0</v>
      </c>
      <c r="F26" s="35">
        <v>0</v>
      </c>
      <c r="G26" s="35">
        <v>0</v>
      </c>
      <c r="H26" s="35">
        <v>0</v>
      </c>
      <c r="I26" s="35">
        <v>0</v>
      </c>
      <c r="J26" s="35">
        <v>0</v>
      </c>
      <c r="K26" s="35">
        <v>0</v>
      </c>
      <c r="L26" s="35">
        <v>0</v>
      </c>
      <c r="M26" s="37">
        <v>0</v>
      </c>
      <c r="N26" s="35">
        <v>0</v>
      </c>
      <c r="O26" s="35">
        <v>0</v>
      </c>
      <c r="P26" s="35">
        <v>0</v>
      </c>
      <c r="Q26" s="35">
        <v>0</v>
      </c>
      <c r="R26" s="35">
        <v>0</v>
      </c>
      <c r="S26" s="35">
        <v>0</v>
      </c>
      <c r="T26" s="35">
        <v>0</v>
      </c>
      <c r="U26" s="35">
        <v>0</v>
      </c>
      <c r="V26" s="37">
        <v>0</v>
      </c>
      <c r="W26" s="35">
        <v>0</v>
      </c>
      <c r="X26" s="35">
        <v>0</v>
      </c>
      <c r="Y26" s="35">
        <v>0</v>
      </c>
      <c r="Z26" s="35">
        <v>0</v>
      </c>
      <c r="AA26" s="35">
        <v>0</v>
      </c>
      <c r="AB26" s="35">
        <v>0</v>
      </c>
      <c r="AC26" s="35">
        <v>0</v>
      </c>
      <c r="AD26" s="35">
        <v>0</v>
      </c>
      <c r="AE26" s="35">
        <v>0</v>
      </c>
      <c r="AF26" s="35">
        <v>0</v>
      </c>
      <c r="AG26" s="35">
        <v>0</v>
      </c>
      <c r="AH26" s="35">
        <v>0</v>
      </c>
      <c r="AI26" s="35">
        <v>0</v>
      </c>
      <c r="AJ26" s="35">
        <v>0</v>
      </c>
      <c r="AK26" s="35">
        <v>0</v>
      </c>
      <c r="AL26" s="35">
        <v>0</v>
      </c>
      <c r="AM26" s="35">
        <v>0</v>
      </c>
      <c r="AN26" s="35">
        <v>0</v>
      </c>
      <c r="AO26" s="35">
        <v>0</v>
      </c>
      <c r="AP26" s="35">
        <v>0</v>
      </c>
      <c r="AQ26" s="35">
        <v>0</v>
      </c>
      <c r="AR26" s="35">
        <v>0</v>
      </c>
      <c r="AS26" s="35">
        <v>0</v>
      </c>
      <c r="AT26" s="35">
        <v>0</v>
      </c>
      <c r="AU26" s="35"/>
      <c r="AV26" s="35"/>
      <c r="AW26" s="35"/>
      <c r="AX26" s="35"/>
      <c r="AY26" s="35"/>
      <c r="AZ26" s="35"/>
      <c r="BA26" s="35">
        <v>0</v>
      </c>
      <c r="BB26" s="35">
        <v>0</v>
      </c>
      <c r="BC26" s="35">
        <v>0</v>
      </c>
      <c r="BD26" s="35">
        <v>0</v>
      </c>
      <c r="BE26" s="35">
        <v>0</v>
      </c>
    </row>
    <row r="27" spans="1:57" hidden="1" outlineLevel="1" x14ac:dyDescent="0.2">
      <c r="A27" s="34" t="s">
        <v>99</v>
      </c>
      <c r="B27" s="35">
        <v>-68315.691999999995</v>
      </c>
      <c r="C27" s="35">
        <v>0</v>
      </c>
      <c r="D27" s="35">
        <v>-68315.691999999995</v>
      </c>
      <c r="E27" s="35">
        <v>0</v>
      </c>
      <c r="F27" s="35">
        <v>0</v>
      </c>
      <c r="G27" s="35">
        <v>0</v>
      </c>
      <c r="H27" s="35">
        <v>0</v>
      </c>
      <c r="I27" s="35">
        <v>0</v>
      </c>
      <c r="J27" s="35">
        <v>59823.793799999999</v>
      </c>
      <c r="K27" s="35">
        <v>0</v>
      </c>
      <c r="L27" s="35">
        <v>0</v>
      </c>
      <c r="M27" s="37">
        <v>0</v>
      </c>
      <c r="N27" s="35">
        <v>0</v>
      </c>
      <c r="O27" s="35">
        <v>0</v>
      </c>
      <c r="P27" s="35">
        <v>0</v>
      </c>
      <c r="Q27" s="35">
        <v>0</v>
      </c>
      <c r="R27" s="35">
        <v>0</v>
      </c>
      <c r="S27" s="35">
        <v>0</v>
      </c>
      <c r="T27" s="35">
        <v>0</v>
      </c>
      <c r="U27" s="35">
        <v>0</v>
      </c>
      <c r="V27" s="37">
        <v>0</v>
      </c>
      <c r="W27" s="35">
        <v>0</v>
      </c>
      <c r="X27" s="35">
        <v>0</v>
      </c>
      <c r="Y27" s="35">
        <v>0</v>
      </c>
      <c r="Z27" s="35">
        <v>0</v>
      </c>
      <c r="AA27" s="35">
        <v>0</v>
      </c>
      <c r="AB27" s="35">
        <v>0</v>
      </c>
      <c r="AC27" s="35">
        <v>0</v>
      </c>
      <c r="AD27" s="35">
        <v>0</v>
      </c>
      <c r="AE27" s="35">
        <v>0</v>
      </c>
      <c r="AF27" s="35">
        <v>0</v>
      </c>
      <c r="AG27" s="35">
        <v>0</v>
      </c>
      <c r="AH27" s="35">
        <v>0</v>
      </c>
      <c r="AI27" s="35">
        <v>0</v>
      </c>
      <c r="AJ27" s="35">
        <v>0</v>
      </c>
      <c r="AK27" s="35">
        <v>0</v>
      </c>
      <c r="AL27" s="35">
        <v>0</v>
      </c>
      <c r="AM27" s="35">
        <v>0</v>
      </c>
      <c r="AN27" s="35">
        <v>0</v>
      </c>
      <c r="AO27" s="35">
        <v>0</v>
      </c>
      <c r="AP27" s="35">
        <v>0</v>
      </c>
      <c r="AQ27" s="35">
        <v>0</v>
      </c>
      <c r="AR27" s="35">
        <v>0</v>
      </c>
      <c r="AS27" s="35">
        <v>0</v>
      </c>
      <c r="AT27" s="35">
        <v>0</v>
      </c>
      <c r="AU27" s="35"/>
      <c r="AV27" s="35"/>
      <c r="AW27" s="35"/>
      <c r="AX27" s="35"/>
      <c r="AY27" s="35"/>
      <c r="AZ27" s="35"/>
      <c r="BA27" s="35">
        <v>0</v>
      </c>
      <c r="BB27" s="35">
        <v>0</v>
      </c>
      <c r="BC27" s="35">
        <v>0</v>
      </c>
      <c r="BD27" s="35">
        <v>0</v>
      </c>
      <c r="BE27" s="35">
        <v>0</v>
      </c>
    </row>
    <row r="28" spans="1:57" hidden="1" outlineLevel="1" x14ac:dyDescent="0.2">
      <c r="A28" s="34" t="s">
        <v>100</v>
      </c>
      <c r="B28" s="35">
        <v>0</v>
      </c>
      <c r="C28" s="35">
        <v>0</v>
      </c>
      <c r="D28" s="35">
        <v>0</v>
      </c>
      <c r="E28" s="35">
        <v>0</v>
      </c>
      <c r="F28" s="35">
        <v>0</v>
      </c>
      <c r="G28" s="35">
        <v>0</v>
      </c>
      <c r="H28" s="35">
        <v>0</v>
      </c>
      <c r="I28" s="35">
        <v>0</v>
      </c>
      <c r="J28" s="35">
        <v>0</v>
      </c>
      <c r="K28" s="35">
        <v>0</v>
      </c>
      <c r="L28" s="35">
        <v>0</v>
      </c>
      <c r="M28" s="37">
        <v>17680.580000000002</v>
      </c>
      <c r="N28" s="35">
        <v>0</v>
      </c>
      <c r="O28" s="35">
        <v>0</v>
      </c>
      <c r="P28" s="35">
        <v>0</v>
      </c>
      <c r="Q28" s="35">
        <v>0</v>
      </c>
      <c r="R28" s="35">
        <v>0</v>
      </c>
      <c r="S28" s="35">
        <v>0</v>
      </c>
      <c r="T28" s="35">
        <v>0</v>
      </c>
      <c r="U28" s="35">
        <v>0</v>
      </c>
      <c r="V28" s="37">
        <v>0</v>
      </c>
      <c r="W28" s="35">
        <v>0</v>
      </c>
      <c r="X28" s="35">
        <v>0</v>
      </c>
      <c r="Y28" s="35">
        <v>0</v>
      </c>
      <c r="Z28" s="35">
        <v>0</v>
      </c>
      <c r="AA28" s="35">
        <v>0</v>
      </c>
      <c r="AB28" s="35">
        <v>0</v>
      </c>
      <c r="AC28" s="35">
        <v>0</v>
      </c>
      <c r="AD28" s="35">
        <v>0</v>
      </c>
      <c r="AE28" s="35">
        <v>0</v>
      </c>
      <c r="AF28" s="35">
        <v>0</v>
      </c>
      <c r="AG28" s="35">
        <v>0</v>
      </c>
      <c r="AH28" s="35">
        <v>0</v>
      </c>
      <c r="AI28" s="35">
        <v>0</v>
      </c>
      <c r="AJ28" s="35">
        <v>0</v>
      </c>
      <c r="AK28" s="35">
        <v>0</v>
      </c>
      <c r="AL28" s="35">
        <v>0</v>
      </c>
      <c r="AM28" s="35">
        <v>0</v>
      </c>
      <c r="AN28" s="35">
        <v>0</v>
      </c>
      <c r="AO28" s="35">
        <v>0</v>
      </c>
      <c r="AP28" s="35">
        <v>0</v>
      </c>
      <c r="AQ28" s="35">
        <v>0</v>
      </c>
      <c r="AR28" s="35">
        <v>0</v>
      </c>
      <c r="AS28" s="35">
        <v>0</v>
      </c>
      <c r="AT28" s="35">
        <v>0</v>
      </c>
      <c r="AU28" s="35"/>
      <c r="AV28" s="35"/>
      <c r="AW28" s="35"/>
      <c r="AX28" s="35"/>
      <c r="AY28" s="35"/>
      <c r="AZ28" s="35"/>
      <c r="BA28" s="35">
        <v>0</v>
      </c>
      <c r="BB28" s="35">
        <v>0</v>
      </c>
      <c r="BC28" s="35">
        <v>0</v>
      </c>
      <c r="BD28" s="35">
        <v>0</v>
      </c>
      <c r="BE28" s="35">
        <v>0</v>
      </c>
    </row>
    <row r="29" spans="1:57" hidden="1" outlineLevel="1" x14ac:dyDescent="0.2">
      <c r="A29" s="34" t="s">
        <v>101</v>
      </c>
      <c r="B29" s="35">
        <v>0</v>
      </c>
      <c r="C29" s="35">
        <v>0</v>
      </c>
      <c r="D29" s="35">
        <v>0</v>
      </c>
      <c r="E29" s="35">
        <v>0</v>
      </c>
      <c r="F29" s="35">
        <v>0</v>
      </c>
      <c r="G29" s="35">
        <v>0</v>
      </c>
      <c r="H29" s="35">
        <v>0</v>
      </c>
      <c r="I29" s="35">
        <v>0</v>
      </c>
      <c r="J29" s="35">
        <v>-9573.4107000000004</v>
      </c>
      <c r="K29" s="35">
        <v>0</v>
      </c>
      <c r="L29" s="35">
        <v>0</v>
      </c>
      <c r="M29" s="37">
        <v>0</v>
      </c>
      <c r="N29" s="35">
        <v>0</v>
      </c>
      <c r="O29" s="35">
        <v>19054</v>
      </c>
      <c r="P29" s="35">
        <v>0</v>
      </c>
      <c r="Q29" s="35">
        <v>0</v>
      </c>
      <c r="R29" s="35">
        <v>0</v>
      </c>
      <c r="S29" s="35">
        <v>0</v>
      </c>
      <c r="T29" s="35">
        <v>0</v>
      </c>
      <c r="U29" s="35">
        <v>0</v>
      </c>
      <c r="V29" s="37">
        <v>0</v>
      </c>
      <c r="W29" s="35">
        <v>0</v>
      </c>
      <c r="X29" s="35">
        <v>0</v>
      </c>
      <c r="Y29" s="35">
        <v>0</v>
      </c>
      <c r="Z29" s="35">
        <v>0</v>
      </c>
      <c r="AA29" s="35">
        <v>0</v>
      </c>
      <c r="AB29" s="35">
        <v>0</v>
      </c>
      <c r="AC29" s="35">
        <v>0</v>
      </c>
      <c r="AD29" s="35">
        <v>0</v>
      </c>
      <c r="AE29" s="35">
        <v>0</v>
      </c>
      <c r="AF29" s="35">
        <v>0</v>
      </c>
      <c r="AG29" s="35">
        <v>0</v>
      </c>
      <c r="AH29" s="35">
        <v>0</v>
      </c>
      <c r="AI29" s="35">
        <v>0</v>
      </c>
      <c r="AJ29" s="35">
        <v>0</v>
      </c>
      <c r="AK29" s="35">
        <v>0</v>
      </c>
      <c r="AL29" s="35">
        <v>0</v>
      </c>
      <c r="AM29" s="35">
        <v>0</v>
      </c>
      <c r="AN29" s="35">
        <v>0</v>
      </c>
      <c r="AO29" s="35">
        <v>0</v>
      </c>
      <c r="AP29" s="35">
        <v>0</v>
      </c>
      <c r="AQ29" s="35">
        <v>0</v>
      </c>
      <c r="AR29" s="35">
        <v>0</v>
      </c>
      <c r="AS29" s="35">
        <v>0</v>
      </c>
      <c r="AT29" s="35">
        <v>0</v>
      </c>
      <c r="AU29" s="35"/>
      <c r="AV29" s="35"/>
      <c r="AW29" s="35"/>
      <c r="AX29" s="35"/>
      <c r="AY29" s="35"/>
      <c r="AZ29" s="35"/>
      <c r="BA29" s="35">
        <v>0</v>
      </c>
      <c r="BB29" s="35">
        <v>0</v>
      </c>
      <c r="BC29" s="35">
        <v>0</v>
      </c>
      <c r="BD29" s="35">
        <v>0</v>
      </c>
      <c r="BE29" s="35">
        <v>0</v>
      </c>
    </row>
    <row r="30" spans="1:57" hidden="1" outlineLevel="1" x14ac:dyDescent="0.2">
      <c r="A30" s="34" t="s">
        <v>102</v>
      </c>
      <c r="B30" s="35">
        <v>0</v>
      </c>
      <c r="C30" s="35">
        <v>0</v>
      </c>
      <c r="D30" s="35">
        <v>0</v>
      </c>
      <c r="E30" s="35">
        <v>0</v>
      </c>
      <c r="F30" s="35">
        <v>0</v>
      </c>
      <c r="G30" s="35">
        <v>0</v>
      </c>
      <c r="H30" s="35">
        <v>0</v>
      </c>
      <c r="I30" s="35">
        <v>0</v>
      </c>
      <c r="J30" s="35">
        <v>0</v>
      </c>
      <c r="K30" s="35">
        <v>0</v>
      </c>
      <c r="L30" s="35">
        <v>0</v>
      </c>
      <c r="M30" s="37">
        <v>0</v>
      </c>
      <c r="N30" s="35">
        <v>0</v>
      </c>
      <c r="O30" s="35">
        <v>0</v>
      </c>
      <c r="P30" s="35">
        <v>0</v>
      </c>
      <c r="Q30" s="35">
        <v>0</v>
      </c>
      <c r="R30" s="35">
        <v>0</v>
      </c>
      <c r="S30" s="35">
        <v>0</v>
      </c>
      <c r="T30" s="35">
        <v>0</v>
      </c>
      <c r="U30" s="35">
        <v>0</v>
      </c>
      <c r="V30" s="37">
        <v>0</v>
      </c>
      <c r="W30" s="35">
        <v>0</v>
      </c>
      <c r="X30" s="35">
        <v>0</v>
      </c>
      <c r="Y30" s="35">
        <v>0</v>
      </c>
      <c r="Z30" s="35">
        <v>0</v>
      </c>
      <c r="AA30" s="35">
        <v>0</v>
      </c>
      <c r="AB30" s="35">
        <v>0</v>
      </c>
      <c r="AC30" s="35">
        <v>0</v>
      </c>
      <c r="AD30" s="35">
        <v>0</v>
      </c>
      <c r="AE30" s="35">
        <v>0</v>
      </c>
      <c r="AF30" s="35">
        <v>0</v>
      </c>
      <c r="AG30" s="35">
        <v>0</v>
      </c>
      <c r="AH30" s="35">
        <v>0</v>
      </c>
      <c r="AI30" s="35">
        <v>0</v>
      </c>
      <c r="AJ30" s="35">
        <v>0</v>
      </c>
      <c r="AK30" s="35">
        <v>0</v>
      </c>
      <c r="AL30" s="35">
        <v>0</v>
      </c>
      <c r="AM30" s="35">
        <v>0</v>
      </c>
      <c r="AN30" s="35">
        <v>0</v>
      </c>
      <c r="AO30" s="35">
        <v>0</v>
      </c>
      <c r="AP30" s="35">
        <v>0</v>
      </c>
      <c r="AQ30" s="35">
        <v>0</v>
      </c>
      <c r="AR30" s="35">
        <v>0</v>
      </c>
      <c r="AS30" s="35">
        <v>0</v>
      </c>
      <c r="AT30" s="35">
        <v>0</v>
      </c>
      <c r="AU30" s="35"/>
      <c r="AV30" s="35"/>
      <c r="AW30" s="35"/>
      <c r="AX30" s="35"/>
      <c r="AY30" s="35"/>
      <c r="AZ30" s="35"/>
      <c r="BA30" s="35">
        <v>0</v>
      </c>
      <c r="BB30" s="35">
        <v>0</v>
      </c>
      <c r="BC30" s="35">
        <v>0</v>
      </c>
      <c r="BD30" s="35">
        <v>0</v>
      </c>
      <c r="BE30" s="35">
        <v>0</v>
      </c>
    </row>
    <row r="31" spans="1:57" hidden="1" outlineLevel="1" x14ac:dyDescent="0.2">
      <c r="A31" s="34" t="s">
        <v>103</v>
      </c>
      <c r="B31" s="35">
        <v>0</v>
      </c>
      <c r="C31" s="35">
        <v>0</v>
      </c>
      <c r="D31" s="35">
        <v>0</v>
      </c>
      <c r="E31" s="35">
        <v>0</v>
      </c>
      <c r="F31" s="35">
        <v>0</v>
      </c>
      <c r="G31" s="35">
        <v>0</v>
      </c>
      <c r="H31" s="35">
        <v>0</v>
      </c>
      <c r="I31" s="35">
        <v>0</v>
      </c>
      <c r="J31" s="35">
        <v>0</v>
      </c>
      <c r="K31" s="35">
        <v>0</v>
      </c>
      <c r="L31" s="35">
        <v>0</v>
      </c>
      <c r="M31" s="37">
        <v>0</v>
      </c>
      <c r="N31" s="35">
        <v>0</v>
      </c>
      <c r="O31" s="35">
        <v>0</v>
      </c>
      <c r="P31" s="35">
        <v>0</v>
      </c>
      <c r="Q31" s="35">
        <v>0</v>
      </c>
      <c r="R31" s="35">
        <v>0</v>
      </c>
      <c r="S31" s="35">
        <v>0</v>
      </c>
      <c r="T31" s="35">
        <v>0</v>
      </c>
      <c r="U31" s="35">
        <v>0</v>
      </c>
      <c r="V31" s="37">
        <v>0</v>
      </c>
      <c r="W31" s="35">
        <v>0</v>
      </c>
      <c r="X31" s="35">
        <v>0</v>
      </c>
      <c r="Y31" s="35">
        <v>0</v>
      </c>
      <c r="Z31" s="35">
        <v>0</v>
      </c>
      <c r="AA31" s="35">
        <v>0</v>
      </c>
      <c r="AB31" s="35">
        <v>0</v>
      </c>
      <c r="AC31" s="35">
        <v>0</v>
      </c>
      <c r="AD31" s="35">
        <v>0</v>
      </c>
      <c r="AE31" s="35">
        <v>0</v>
      </c>
      <c r="AF31" s="35">
        <v>0</v>
      </c>
      <c r="AG31" s="35">
        <v>0</v>
      </c>
      <c r="AH31" s="35">
        <v>0</v>
      </c>
      <c r="AI31" s="35">
        <v>0</v>
      </c>
      <c r="AJ31" s="35">
        <v>0</v>
      </c>
      <c r="AK31" s="35">
        <v>0</v>
      </c>
      <c r="AL31" s="35">
        <v>0</v>
      </c>
      <c r="AM31" s="35">
        <v>0</v>
      </c>
      <c r="AN31" s="35">
        <v>0</v>
      </c>
      <c r="AO31" s="35">
        <v>0</v>
      </c>
      <c r="AP31" s="35">
        <v>0</v>
      </c>
      <c r="AQ31" s="35">
        <v>0</v>
      </c>
      <c r="AR31" s="35">
        <v>0</v>
      </c>
      <c r="AS31" s="35">
        <v>0</v>
      </c>
      <c r="AT31" s="35">
        <v>0</v>
      </c>
      <c r="AU31" s="35"/>
      <c r="AV31" s="35"/>
      <c r="AW31" s="35"/>
      <c r="AX31" s="35"/>
      <c r="AY31" s="35"/>
      <c r="AZ31" s="35"/>
      <c r="BA31" s="35">
        <v>0</v>
      </c>
      <c r="BB31" s="35">
        <v>0</v>
      </c>
      <c r="BC31" s="35">
        <v>0</v>
      </c>
      <c r="BD31" s="35">
        <v>0</v>
      </c>
      <c r="BE31" s="35">
        <v>0</v>
      </c>
    </row>
    <row r="32" spans="1:57" hidden="1" outlineLevel="1" x14ac:dyDescent="0.2">
      <c r="A32" s="34" t="s">
        <v>104</v>
      </c>
      <c r="B32" s="35">
        <v>0</v>
      </c>
      <c r="C32" s="35">
        <v>0</v>
      </c>
      <c r="D32" s="35">
        <v>0</v>
      </c>
      <c r="E32" s="35">
        <v>0</v>
      </c>
      <c r="F32" s="35">
        <v>0</v>
      </c>
      <c r="G32" s="35">
        <v>0</v>
      </c>
      <c r="H32" s="35">
        <v>0</v>
      </c>
      <c r="I32" s="35">
        <v>0</v>
      </c>
      <c r="J32" s="35">
        <v>0</v>
      </c>
      <c r="K32" s="35">
        <v>0</v>
      </c>
      <c r="L32" s="35">
        <v>0</v>
      </c>
      <c r="M32" s="37">
        <v>0</v>
      </c>
      <c r="N32" s="35">
        <v>0</v>
      </c>
      <c r="O32" s="35">
        <v>0</v>
      </c>
      <c r="P32" s="35">
        <v>0</v>
      </c>
      <c r="Q32" s="35">
        <v>0</v>
      </c>
      <c r="R32" s="35">
        <v>0</v>
      </c>
      <c r="S32" s="35">
        <v>0</v>
      </c>
      <c r="T32" s="35">
        <v>0</v>
      </c>
      <c r="U32" s="35">
        <v>0</v>
      </c>
      <c r="V32" s="37">
        <v>0</v>
      </c>
      <c r="W32" s="35">
        <v>-905518.29225599999</v>
      </c>
      <c r="X32" s="35">
        <v>-905518.29225599999</v>
      </c>
      <c r="Y32" s="35">
        <v>0</v>
      </c>
      <c r="Z32" s="35">
        <v>0</v>
      </c>
      <c r="AA32" s="35">
        <v>0</v>
      </c>
      <c r="AB32" s="35">
        <v>0</v>
      </c>
      <c r="AC32" s="35">
        <v>0.02</v>
      </c>
      <c r="AD32" s="35">
        <v>0</v>
      </c>
      <c r="AE32" s="35">
        <v>13823.28781537778</v>
      </c>
      <c r="AF32" s="35">
        <v>374654.65872658382</v>
      </c>
      <c r="AG32" s="35">
        <v>0</v>
      </c>
      <c r="AH32" s="35">
        <v>0</v>
      </c>
      <c r="AI32" s="35">
        <v>73443.15394795555</v>
      </c>
      <c r="AJ32" s="35">
        <v>27522.878340320989</v>
      </c>
      <c r="AK32" s="35">
        <v>284146.83222546207</v>
      </c>
      <c r="AL32" s="35">
        <v>175074.86987065259</v>
      </c>
      <c r="AM32" s="35">
        <v>0</v>
      </c>
      <c r="AN32" s="35">
        <v>4832.8996462296291</v>
      </c>
      <c r="AO32" s="35">
        <v>12480.09358226666</v>
      </c>
      <c r="AP32" s="35">
        <v>20868.561513738459</v>
      </c>
      <c r="AQ32" s="35">
        <v>4156.6356091500002</v>
      </c>
      <c r="AR32" s="35">
        <v>0</v>
      </c>
      <c r="AS32" s="35">
        <v>0</v>
      </c>
      <c r="AT32" s="35">
        <v>0</v>
      </c>
      <c r="AU32" s="35"/>
      <c r="AV32" s="35"/>
      <c r="AW32" s="35"/>
      <c r="AX32" s="35"/>
      <c r="AY32" s="35"/>
      <c r="AZ32" s="35"/>
      <c r="BA32" s="35">
        <v>0</v>
      </c>
      <c r="BB32" s="35">
        <v>0</v>
      </c>
      <c r="BC32" s="35">
        <v>0</v>
      </c>
      <c r="BD32" s="35">
        <v>0</v>
      </c>
      <c r="BE32" s="35">
        <v>0</v>
      </c>
    </row>
    <row r="33" spans="1:57" hidden="1" outlineLevel="1" x14ac:dyDescent="0.2">
      <c r="A33" s="34" t="s">
        <v>105</v>
      </c>
      <c r="B33" s="35">
        <v>-958308.08399999992</v>
      </c>
      <c r="C33" s="35">
        <v>0</v>
      </c>
      <c r="D33" s="35">
        <v>0</v>
      </c>
      <c r="E33" s="35">
        <v>-958308.08399999992</v>
      </c>
      <c r="F33" s="35">
        <v>0</v>
      </c>
      <c r="G33" s="35">
        <v>0</v>
      </c>
      <c r="H33" s="35">
        <v>0</v>
      </c>
      <c r="I33" s="35">
        <v>0</v>
      </c>
      <c r="J33" s="35">
        <v>0</v>
      </c>
      <c r="K33" s="35">
        <v>0</v>
      </c>
      <c r="L33" s="35">
        <v>0</v>
      </c>
      <c r="M33" s="37">
        <v>0</v>
      </c>
      <c r="N33" s="35">
        <v>0</v>
      </c>
      <c r="O33" s="35">
        <v>0</v>
      </c>
      <c r="P33" s="35">
        <v>0</v>
      </c>
      <c r="Q33" s="35">
        <v>0</v>
      </c>
      <c r="R33" s="35">
        <v>0</v>
      </c>
      <c r="S33" s="35">
        <v>0</v>
      </c>
      <c r="T33" s="35">
        <v>0</v>
      </c>
      <c r="U33" s="35">
        <v>0</v>
      </c>
      <c r="V33" s="37">
        <v>-72313.597500000003</v>
      </c>
      <c r="W33" s="35">
        <v>0</v>
      </c>
      <c r="X33" s="35">
        <v>0</v>
      </c>
      <c r="Y33" s="35">
        <v>0</v>
      </c>
      <c r="Z33" s="35">
        <v>0</v>
      </c>
      <c r="AA33" s="35">
        <v>0</v>
      </c>
      <c r="AB33" s="35">
        <v>0</v>
      </c>
      <c r="AC33" s="35">
        <v>0</v>
      </c>
      <c r="AD33" s="35">
        <v>0</v>
      </c>
      <c r="AE33" s="35">
        <v>0</v>
      </c>
      <c r="AF33" s="35">
        <v>0</v>
      </c>
      <c r="AG33" s="35">
        <v>0</v>
      </c>
      <c r="AH33" s="35">
        <v>0</v>
      </c>
      <c r="AI33" s="35">
        <v>0</v>
      </c>
      <c r="AJ33" s="35">
        <v>0</v>
      </c>
      <c r="AK33" s="35">
        <v>0</v>
      </c>
      <c r="AL33" s="35">
        <v>0</v>
      </c>
      <c r="AM33" s="35">
        <v>0</v>
      </c>
      <c r="AN33" s="35">
        <v>0</v>
      </c>
      <c r="AO33" s="35">
        <v>0</v>
      </c>
      <c r="AP33" s="35">
        <v>0</v>
      </c>
      <c r="AQ33" s="35">
        <v>0</v>
      </c>
      <c r="AR33" s="35">
        <v>0</v>
      </c>
      <c r="AS33" s="35">
        <v>0</v>
      </c>
      <c r="AT33" s="35">
        <v>0</v>
      </c>
      <c r="AU33" s="35"/>
      <c r="AV33" s="35"/>
      <c r="AW33" s="35"/>
      <c r="AX33" s="35"/>
      <c r="AY33" s="35"/>
      <c r="AZ33" s="35"/>
      <c r="BA33" s="35">
        <v>0</v>
      </c>
      <c r="BB33" s="35">
        <v>0</v>
      </c>
      <c r="BC33" s="35">
        <v>0</v>
      </c>
      <c r="BD33" s="35">
        <v>0</v>
      </c>
      <c r="BE33" s="35">
        <v>0</v>
      </c>
    </row>
    <row r="34" spans="1:57" hidden="1" outlineLevel="1" x14ac:dyDescent="0.2">
      <c r="A34" s="34" t="s">
        <v>106</v>
      </c>
      <c r="B34" s="35">
        <v>0</v>
      </c>
      <c r="C34" s="35">
        <v>0</v>
      </c>
      <c r="D34" s="35">
        <v>0</v>
      </c>
      <c r="E34" s="35">
        <v>0</v>
      </c>
      <c r="F34" s="35">
        <v>0</v>
      </c>
      <c r="G34" s="35">
        <v>0</v>
      </c>
      <c r="H34" s="35">
        <v>0</v>
      </c>
      <c r="I34" s="35">
        <v>0</v>
      </c>
      <c r="J34" s="35">
        <v>0</v>
      </c>
      <c r="K34" s="35">
        <v>0</v>
      </c>
      <c r="L34" s="35">
        <v>0</v>
      </c>
      <c r="M34" s="37">
        <v>0</v>
      </c>
      <c r="N34" s="35">
        <v>0</v>
      </c>
      <c r="O34" s="35">
        <v>0</v>
      </c>
      <c r="P34" s="35">
        <v>0</v>
      </c>
      <c r="Q34" s="35">
        <v>0</v>
      </c>
      <c r="R34" s="35">
        <v>0</v>
      </c>
      <c r="S34" s="35">
        <v>0</v>
      </c>
      <c r="T34" s="35">
        <v>0</v>
      </c>
      <c r="U34" s="35">
        <v>0</v>
      </c>
      <c r="V34" s="37">
        <v>0</v>
      </c>
      <c r="W34" s="35">
        <v>0</v>
      </c>
      <c r="X34" s="35">
        <v>0</v>
      </c>
      <c r="Y34" s="35">
        <v>0</v>
      </c>
      <c r="Z34" s="35">
        <v>0</v>
      </c>
      <c r="AA34" s="35">
        <v>0</v>
      </c>
      <c r="AB34" s="35">
        <v>0</v>
      </c>
      <c r="AC34" s="35">
        <v>0</v>
      </c>
      <c r="AD34" s="35">
        <v>0</v>
      </c>
      <c r="AE34" s="35">
        <v>0</v>
      </c>
      <c r="AF34" s="35">
        <v>0</v>
      </c>
      <c r="AG34" s="35">
        <v>0</v>
      </c>
      <c r="AH34" s="35">
        <v>0</v>
      </c>
      <c r="AI34" s="35">
        <v>0</v>
      </c>
      <c r="AJ34" s="35">
        <v>0</v>
      </c>
      <c r="AK34" s="35">
        <v>0</v>
      </c>
      <c r="AL34" s="35">
        <v>0</v>
      </c>
      <c r="AM34" s="35">
        <v>0</v>
      </c>
      <c r="AN34" s="35">
        <v>0</v>
      </c>
      <c r="AO34" s="35">
        <v>0</v>
      </c>
      <c r="AP34" s="35">
        <v>0</v>
      </c>
      <c r="AQ34" s="35">
        <v>0</v>
      </c>
      <c r="AR34" s="35">
        <v>0</v>
      </c>
      <c r="AS34" s="35">
        <v>0</v>
      </c>
      <c r="AT34" s="35">
        <v>0</v>
      </c>
      <c r="AU34" s="35"/>
      <c r="AV34" s="35"/>
      <c r="AW34" s="35"/>
      <c r="AX34" s="35"/>
      <c r="AY34" s="35"/>
      <c r="AZ34" s="35"/>
      <c r="BA34" s="35">
        <v>0</v>
      </c>
      <c r="BB34" s="35">
        <v>0</v>
      </c>
      <c r="BC34" s="35">
        <v>0</v>
      </c>
      <c r="BD34" s="35">
        <v>0</v>
      </c>
      <c r="BE34" s="35">
        <v>0</v>
      </c>
    </row>
    <row r="35" spans="1:57" hidden="1" outlineLevel="1" x14ac:dyDescent="0.2">
      <c r="A35" s="34"/>
      <c r="B35" s="41"/>
      <c r="C35" s="35"/>
      <c r="D35" s="35"/>
      <c r="E35" s="35"/>
      <c r="F35" s="35"/>
      <c r="G35" s="35"/>
      <c r="H35" s="35"/>
      <c r="I35" s="35"/>
      <c r="J35" s="35"/>
      <c r="K35" s="35"/>
      <c r="L35" s="35"/>
      <c r="M35" s="37"/>
      <c r="N35" s="35"/>
      <c r="O35" s="35"/>
      <c r="P35" s="35"/>
      <c r="Q35" s="35"/>
      <c r="R35" s="35"/>
      <c r="S35" s="35"/>
      <c r="T35" s="35"/>
      <c r="U35" s="35"/>
      <c r="V35" s="37"/>
      <c r="W35" s="35"/>
      <c r="X35" s="35"/>
      <c r="Y35" s="35"/>
      <c r="Z35" s="35"/>
      <c r="AA35" s="35"/>
      <c r="AB35" s="35"/>
      <c r="AC35" s="35"/>
      <c r="AD35" s="35"/>
      <c r="AE35" s="35"/>
      <c r="AF35" s="35"/>
      <c r="AG35" s="35"/>
      <c r="AH35" s="35"/>
      <c r="AI35" s="35"/>
      <c r="AJ35" s="35"/>
      <c r="AK35" s="35"/>
      <c r="AL35" s="35"/>
      <c r="AM35" s="35"/>
      <c r="AN35" s="35"/>
      <c r="AO35" s="35"/>
      <c r="AP35" s="35"/>
      <c r="AQ35" s="35"/>
      <c r="AR35" s="35"/>
      <c r="AS35" s="35"/>
      <c r="AT35" s="35"/>
      <c r="AU35" s="35"/>
      <c r="AV35" s="35"/>
      <c r="AW35" s="35"/>
      <c r="AX35" s="35"/>
      <c r="AY35" s="35"/>
      <c r="AZ35" s="35"/>
      <c r="BA35" s="35"/>
      <c r="BB35" s="35"/>
      <c r="BC35" s="35"/>
      <c r="BD35" s="35"/>
      <c r="BE35" s="35"/>
    </row>
    <row r="36" spans="1:57" hidden="1" outlineLevel="1" x14ac:dyDescent="0.2">
      <c r="A36" s="38" t="s">
        <v>107</v>
      </c>
      <c r="B36" s="42">
        <v>0</v>
      </c>
      <c r="C36" s="42">
        <v>0</v>
      </c>
      <c r="D36" s="42">
        <v>0</v>
      </c>
      <c r="E36" s="42">
        <v>0</v>
      </c>
      <c r="F36" s="42">
        <v>0</v>
      </c>
      <c r="G36" s="42">
        <v>0</v>
      </c>
      <c r="H36" s="42">
        <v>0</v>
      </c>
      <c r="I36" s="42">
        <v>0</v>
      </c>
      <c r="J36" s="42">
        <v>0</v>
      </c>
      <c r="K36" s="42">
        <v>0</v>
      </c>
      <c r="L36" s="42">
        <v>0</v>
      </c>
      <c r="M36" s="43">
        <v>0</v>
      </c>
      <c r="N36" s="42">
        <v>0</v>
      </c>
      <c r="O36" s="42">
        <v>0</v>
      </c>
      <c r="P36" s="42">
        <v>0</v>
      </c>
      <c r="Q36" s="42">
        <v>0</v>
      </c>
      <c r="R36" s="42">
        <v>0</v>
      </c>
      <c r="S36" s="42">
        <v>0</v>
      </c>
      <c r="T36" s="42">
        <v>0</v>
      </c>
      <c r="U36" s="42">
        <v>0</v>
      </c>
      <c r="V36" s="43">
        <v>0</v>
      </c>
      <c r="W36" s="39">
        <v>0</v>
      </c>
      <c r="X36" s="42">
        <v>0</v>
      </c>
      <c r="Y36" s="42">
        <v>0</v>
      </c>
      <c r="Z36" s="42">
        <v>0</v>
      </c>
      <c r="AA36" s="42">
        <v>0</v>
      </c>
      <c r="AB36" s="42">
        <v>0</v>
      </c>
      <c r="AC36" s="42">
        <v>0</v>
      </c>
      <c r="AD36" s="42">
        <v>0</v>
      </c>
      <c r="AE36" s="42">
        <v>0</v>
      </c>
      <c r="AF36" s="42">
        <v>0</v>
      </c>
      <c r="AG36" s="42">
        <v>0</v>
      </c>
      <c r="AH36" s="42">
        <v>0</v>
      </c>
      <c r="AI36" s="42">
        <v>0</v>
      </c>
      <c r="AJ36" s="42">
        <v>0</v>
      </c>
      <c r="AK36" s="42">
        <v>0</v>
      </c>
      <c r="AL36" s="42">
        <v>0</v>
      </c>
      <c r="AM36" s="42">
        <v>0</v>
      </c>
      <c r="AN36" s="42">
        <v>0</v>
      </c>
      <c r="AO36" s="42">
        <v>0</v>
      </c>
      <c r="AP36" s="42">
        <v>0</v>
      </c>
      <c r="AQ36" s="42">
        <v>0</v>
      </c>
      <c r="AR36" s="42">
        <v>0</v>
      </c>
      <c r="AS36" s="42">
        <v>0</v>
      </c>
      <c r="AT36" s="42">
        <v>0</v>
      </c>
      <c r="AU36" s="42"/>
      <c r="AV36" s="42"/>
      <c r="AW36" s="42"/>
      <c r="AX36" s="42"/>
      <c r="AY36" s="42"/>
      <c r="AZ36" s="42"/>
      <c r="BA36" s="42">
        <v>0</v>
      </c>
      <c r="BB36" s="42">
        <v>0</v>
      </c>
      <c r="BC36" s="42">
        <v>0</v>
      </c>
      <c r="BD36" s="42">
        <v>-14784414.0228</v>
      </c>
      <c r="BE36" s="42">
        <v>0</v>
      </c>
    </row>
    <row r="37" spans="1:57" hidden="1" outlineLevel="1" x14ac:dyDescent="0.2">
      <c r="A37" s="34" t="s">
        <v>108</v>
      </c>
      <c r="B37" s="35">
        <v>0</v>
      </c>
      <c r="C37" s="35">
        <v>0</v>
      </c>
      <c r="D37" s="35">
        <v>0</v>
      </c>
      <c r="E37" s="35">
        <v>0</v>
      </c>
      <c r="F37" s="35">
        <v>0</v>
      </c>
      <c r="G37" s="35">
        <v>0</v>
      </c>
      <c r="H37" s="35">
        <v>0</v>
      </c>
      <c r="I37" s="35">
        <v>0</v>
      </c>
      <c r="J37" s="35">
        <v>0</v>
      </c>
      <c r="K37" s="35">
        <v>0</v>
      </c>
      <c r="L37" s="35">
        <v>0</v>
      </c>
      <c r="M37" s="37">
        <v>0</v>
      </c>
      <c r="N37" s="35">
        <v>0</v>
      </c>
      <c r="O37" s="35">
        <v>0</v>
      </c>
      <c r="P37" s="35">
        <v>0</v>
      </c>
      <c r="Q37" s="35">
        <v>0</v>
      </c>
      <c r="R37" s="35">
        <v>0</v>
      </c>
      <c r="S37" s="35">
        <v>0</v>
      </c>
      <c r="T37" s="35">
        <v>0</v>
      </c>
      <c r="U37" s="35">
        <v>0</v>
      </c>
      <c r="V37" s="37">
        <v>0</v>
      </c>
      <c r="W37" s="35">
        <v>0</v>
      </c>
      <c r="X37" s="35">
        <v>0</v>
      </c>
      <c r="Y37" s="35">
        <v>0</v>
      </c>
      <c r="Z37" s="35">
        <v>0</v>
      </c>
      <c r="AA37" s="35">
        <v>0</v>
      </c>
      <c r="AB37" s="35">
        <v>0</v>
      </c>
      <c r="AC37" s="35">
        <v>0</v>
      </c>
      <c r="AD37" s="35">
        <v>0</v>
      </c>
      <c r="AE37" s="35">
        <v>0</v>
      </c>
      <c r="AF37" s="35">
        <v>0</v>
      </c>
      <c r="AG37" s="35">
        <v>0</v>
      </c>
      <c r="AH37" s="35">
        <v>0</v>
      </c>
      <c r="AI37" s="35">
        <v>0</v>
      </c>
      <c r="AJ37" s="35">
        <v>0</v>
      </c>
      <c r="AK37" s="35">
        <v>0</v>
      </c>
      <c r="AL37" s="35">
        <v>0</v>
      </c>
      <c r="AM37" s="35">
        <v>0</v>
      </c>
      <c r="AN37" s="35">
        <v>0</v>
      </c>
      <c r="AO37" s="35">
        <v>0</v>
      </c>
      <c r="AP37" s="35">
        <v>0</v>
      </c>
      <c r="AQ37" s="35">
        <v>0</v>
      </c>
      <c r="AR37" s="35">
        <v>0</v>
      </c>
      <c r="AS37" s="35">
        <v>0</v>
      </c>
      <c r="AT37" s="35">
        <v>0</v>
      </c>
      <c r="AU37" s="35"/>
      <c r="AV37" s="35"/>
      <c r="AW37" s="35"/>
      <c r="AX37" s="35"/>
      <c r="AY37" s="35"/>
      <c r="AZ37" s="35"/>
      <c r="BA37" s="35">
        <v>0</v>
      </c>
      <c r="BB37" s="35">
        <v>0</v>
      </c>
      <c r="BC37" s="35">
        <v>0</v>
      </c>
      <c r="BD37" s="35">
        <v>0</v>
      </c>
      <c r="BE37" s="35">
        <v>0</v>
      </c>
    </row>
    <row r="38" spans="1:57" hidden="1" outlineLevel="1" x14ac:dyDescent="0.2">
      <c r="A38" s="34" t="s">
        <v>109</v>
      </c>
      <c r="B38" s="35">
        <v>0</v>
      </c>
      <c r="C38" s="35">
        <v>0</v>
      </c>
      <c r="D38" s="35">
        <v>0</v>
      </c>
      <c r="E38" s="35">
        <v>0</v>
      </c>
      <c r="F38" s="35">
        <v>0</v>
      </c>
      <c r="G38" s="35">
        <v>0</v>
      </c>
      <c r="H38" s="35">
        <v>0</v>
      </c>
      <c r="I38" s="35">
        <v>0</v>
      </c>
      <c r="J38" s="35">
        <v>0</v>
      </c>
      <c r="K38" s="35">
        <v>0</v>
      </c>
      <c r="L38" s="35">
        <v>0</v>
      </c>
      <c r="M38" s="37">
        <v>0</v>
      </c>
      <c r="N38" s="35">
        <v>0</v>
      </c>
      <c r="O38" s="35">
        <v>0</v>
      </c>
      <c r="P38" s="35">
        <v>0</v>
      </c>
      <c r="Q38" s="35">
        <v>0</v>
      </c>
      <c r="R38" s="35">
        <v>0</v>
      </c>
      <c r="S38" s="35">
        <v>0</v>
      </c>
      <c r="T38" s="35">
        <v>0</v>
      </c>
      <c r="U38" s="35">
        <v>0</v>
      </c>
      <c r="V38" s="37">
        <v>0</v>
      </c>
      <c r="W38" s="35">
        <v>0</v>
      </c>
      <c r="X38" s="35">
        <v>0</v>
      </c>
      <c r="Y38" s="35">
        <v>0</v>
      </c>
      <c r="Z38" s="35">
        <v>0</v>
      </c>
      <c r="AA38" s="35">
        <v>0</v>
      </c>
      <c r="AB38" s="35">
        <v>0</v>
      </c>
      <c r="AC38" s="35">
        <v>0</v>
      </c>
      <c r="AD38" s="35">
        <v>0</v>
      </c>
      <c r="AE38" s="35">
        <v>0</v>
      </c>
      <c r="AF38" s="35">
        <v>0</v>
      </c>
      <c r="AG38" s="35">
        <v>0</v>
      </c>
      <c r="AH38" s="35">
        <v>0</v>
      </c>
      <c r="AI38" s="35">
        <v>0</v>
      </c>
      <c r="AJ38" s="35">
        <v>0</v>
      </c>
      <c r="AK38" s="35">
        <v>0</v>
      </c>
      <c r="AL38" s="35">
        <v>0</v>
      </c>
      <c r="AM38" s="35">
        <v>0</v>
      </c>
      <c r="AN38" s="35">
        <v>0</v>
      </c>
      <c r="AO38" s="35">
        <v>0</v>
      </c>
      <c r="AP38" s="35">
        <v>0</v>
      </c>
      <c r="AQ38" s="35">
        <v>0</v>
      </c>
      <c r="AR38" s="35">
        <v>0</v>
      </c>
      <c r="AS38" s="35">
        <v>0</v>
      </c>
      <c r="AT38" s="35">
        <v>0</v>
      </c>
      <c r="AU38" s="35"/>
      <c r="AV38" s="35"/>
      <c r="AW38" s="35"/>
      <c r="AX38" s="35"/>
      <c r="AY38" s="35"/>
      <c r="AZ38" s="35"/>
      <c r="BA38" s="35">
        <v>0</v>
      </c>
      <c r="BB38" s="35">
        <v>0</v>
      </c>
      <c r="BC38" s="35">
        <v>0</v>
      </c>
      <c r="BD38" s="35">
        <v>0</v>
      </c>
      <c r="BE38" s="35">
        <v>0</v>
      </c>
    </row>
    <row r="39" spans="1:57" hidden="1" outlineLevel="1" x14ac:dyDescent="0.2">
      <c r="A39" s="34" t="s">
        <v>98</v>
      </c>
      <c r="B39" s="35">
        <v>0</v>
      </c>
      <c r="C39" s="35">
        <v>0</v>
      </c>
      <c r="D39" s="35">
        <v>0</v>
      </c>
      <c r="E39" s="35">
        <v>0</v>
      </c>
      <c r="F39" s="35">
        <v>0</v>
      </c>
      <c r="G39" s="35">
        <v>0</v>
      </c>
      <c r="H39" s="35">
        <v>0</v>
      </c>
      <c r="I39" s="35">
        <v>0</v>
      </c>
      <c r="J39" s="35">
        <v>0</v>
      </c>
      <c r="K39" s="35">
        <v>0</v>
      </c>
      <c r="L39" s="35">
        <v>0</v>
      </c>
      <c r="M39" s="37">
        <v>0</v>
      </c>
      <c r="N39" s="35">
        <v>0</v>
      </c>
      <c r="O39" s="35">
        <v>0</v>
      </c>
      <c r="P39" s="35">
        <v>0</v>
      </c>
      <c r="Q39" s="35">
        <v>0</v>
      </c>
      <c r="R39" s="35">
        <v>0</v>
      </c>
      <c r="S39" s="35">
        <v>0</v>
      </c>
      <c r="T39" s="35">
        <v>0</v>
      </c>
      <c r="U39" s="35">
        <v>0</v>
      </c>
      <c r="V39" s="37">
        <v>0</v>
      </c>
      <c r="W39" s="35">
        <v>0</v>
      </c>
      <c r="X39" s="35">
        <v>0</v>
      </c>
      <c r="Y39" s="35">
        <v>0</v>
      </c>
      <c r="Z39" s="35">
        <v>0</v>
      </c>
      <c r="AA39" s="35">
        <v>0</v>
      </c>
      <c r="AB39" s="35">
        <v>0</v>
      </c>
      <c r="AC39" s="35">
        <v>0</v>
      </c>
      <c r="AD39" s="35">
        <v>0</v>
      </c>
      <c r="AE39" s="35">
        <v>0</v>
      </c>
      <c r="AF39" s="35">
        <v>0</v>
      </c>
      <c r="AG39" s="35">
        <v>0</v>
      </c>
      <c r="AH39" s="35">
        <v>0</v>
      </c>
      <c r="AI39" s="35">
        <v>0</v>
      </c>
      <c r="AJ39" s="35">
        <v>0</v>
      </c>
      <c r="AK39" s="35">
        <v>0</v>
      </c>
      <c r="AL39" s="35">
        <v>0</v>
      </c>
      <c r="AM39" s="35">
        <v>0</v>
      </c>
      <c r="AN39" s="35">
        <v>0</v>
      </c>
      <c r="AO39" s="35">
        <v>0</v>
      </c>
      <c r="AP39" s="35">
        <v>0</v>
      </c>
      <c r="AQ39" s="35">
        <v>0</v>
      </c>
      <c r="AR39" s="35">
        <v>0</v>
      </c>
      <c r="AS39" s="35">
        <v>0</v>
      </c>
      <c r="AT39" s="35">
        <v>0</v>
      </c>
      <c r="AU39" s="35"/>
      <c r="AV39" s="35"/>
      <c r="AW39" s="35"/>
      <c r="AX39" s="35"/>
      <c r="AY39" s="35"/>
      <c r="AZ39" s="35"/>
      <c r="BA39" s="35">
        <v>0</v>
      </c>
      <c r="BB39" s="35">
        <v>0</v>
      </c>
      <c r="BC39" s="35">
        <v>0</v>
      </c>
      <c r="BD39" s="35">
        <v>0</v>
      </c>
      <c r="BE39" s="35">
        <v>0</v>
      </c>
    </row>
    <row r="40" spans="1:57" hidden="1" outlineLevel="1" x14ac:dyDescent="0.2">
      <c r="A40" s="34" t="s">
        <v>99</v>
      </c>
      <c r="B40" s="35">
        <v>0</v>
      </c>
      <c r="C40" s="35">
        <v>0</v>
      </c>
      <c r="D40" s="35">
        <v>0</v>
      </c>
      <c r="E40" s="35">
        <v>0</v>
      </c>
      <c r="F40" s="35">
        <v>0</v>
      </c>
      <c r="G40" s="35">
        <v>0</v>
      </c>
      <c r="H40" s="35">
        <v>0</v>
      </c>
      <c r="I40" s="35">
        <v>0</v>
      </c>
      <c r="J40" s="35">
        <v>0</v>
      </c>
      <c r="K40" s="35">
        <v>0</v>
      </c>
      <c r="L40" s="35">
        <v>0</v>
      </c>
      <c r="M40" s="37">
        <v>0</v>
      </c>
      <c r="N40" s="35">
        <v>0</v>
      </c>
      <c r="O40" s="35">
        <v>0</v>
      </c>
      <c r="P40" s="35">
        <v>0</v>
      </c>
      <c r="Q40" s="35">
        <v>0</v>
      </c>
      <c r="R40" s="35">
        <v>0</v>
      </c>
      <c r="S40" s="35">
        <v>0</v>
      </c>
      <c r="T40" s="35">
        <v>0</v>
      </c>
      <c r="U40" s="35">
        <v>0</v>
      </c>
      <c r="V40" s="37">
        <v>0</v>
      </c>
      <c r="W40" s="35">
        <v>0</v>
      </c>
      <c r="X40" s="35">
        <v>0</v>
      </c>
      <c r="Y40" s="35">
        <v>0</v>
      </c>
      <c r="Z40" s="35">
        <v>0</v>
      </c>
      <c r="AA40" s="35">
        <v>0</v>
      </c>
      <c r="AB40" s="35">
        <v>0</v>
      </c>
      <c r="AC40" s="35">
        <v>0</v>
      </c>
      <c r="AD40" s="35">
        <v>0</v>
      </c>
      <c r="AE40" s="35">
        <v>0</v>
      </c>
      <c r="AF40" s="35">
        <v>0</v>
      </c>
      <c r="AG40" s="35">
        <v>0</v>
      </c>
      <c r="AH40" s="35">
        <v>0</v>
      </c>
      <c r="AI40" s="35">
        <v>0</v>
      </c>
      <c r="AJ40" s="35">
        <v>0</v>
      </c>
      <c r="AK40" s="35">
        <v>0</v>
      </c>
      <c r="AL40" s="35">
        <v>0</v>
      </c>
      <c r="AM40" s="35">
        <v>0</v>
      </c>
      <c r="AN40" s="35">
        <v>0</v>
      </c>
      <c r="AO40" s="35">
        <v>0</v>
      </c>
      <c r="AP40" s="35">
        <v>0</v>
      </c>
      <c r="AQ40" s="35">
        <v>0</v>
      </c>
      <c r="AR40" s="35">
        <v>0</v>
      </c>
      <c r="AS40" s="35">
        <v>0</v>
      </c>
      <c r="AT40" s="35">
        <v>0</v>
      </c>
      <c r="AU40" s="35"/>
      <c r="AV40" s="35"/>
      <c r="AW40" s="35"/>
      <c r="AX40" s="35"/>
      <c r="AY40" s="35"/>
      <c r="AZ40" s="35"/>
      <c r="BA40" s="35">
        <v>0</v>
      </c>
      <c r="BB40" s="35">
        <v>0</v>
      </c>
      <c r="BC40" s="35">
        <v>0</v>
      </c>
      <c r="BD40" s="35">
        <v>0</v>
      </c>
      <c r="BE40" s="35">
        <v>0</v>
      </c>
    </row>
    <row r="41" spans="1:57" hidden="1" outlineLevel="1" x14ac:dyDescent="0.2">
      <c r="A41" s="34" t="s">
        <v>100</v>
      </c>
      <c r="B41" s="35">
        <v>0</v>
      </c>
      <c r="C41" s="35">
        <v>0</v>
      </c>
      <c r="D41" s="35">
        <v>0</v>
      </c>
      <c r="E41" s="35">
        <v>0</v>
      </c>
      <c r="F41" s="35">
        <v>0</v>
      </c>
      <c r="G41" s="35">
        <v>0</v>
      </c>
      <c r="H41" s="35">
        <v>0</v>
      </c>
      <c r="I41" s="35">
        <v>0</v>
      </c>
      <c r="J41" s="35">
        <v>0</v>
      </c>
      <c r="K41" s="35">
        <v>0</v>
      </c>
      <c r="L41" s="35">
        <v>0</v>
      </c>
      <c r="M41" s="37">
        <v>0</v>
      </c>
      <c r="N41" s="35">
        <v>0</v>
      </c>
      <c r="O41" s="35">
        <v>0</v>
      </c>
      <c r="P41" s="35">
        <v>0</v>
      </c>
      <c r="Q41" s="35">
        <v>0</v>
      </c>
      <c r="R41" s="35">
        <v>0</v>
      </c>
      <c r="S41" s="35">
        <v>0</v>
      </c>
      <c r="T41" s="35">
        <v>0</v>
      </c>
      <c r="U41" s="35">
        <v>0</v>
      </c>
      <c r="V41" s="37">
        <v>0</v>
      </c>
      <c r="W41" s="35">
        <v>0</v>
      </c>
      <c r="X41" s="35">
        <v>0</v>
      </c>
      <c r="Y41" s="35">
        <v>0</v>
      </c>
      <c r="Z41" s="35">
        <v>0</v>
      </c>
      <c r="AA41" s="35">
        <v>0</v>
      </c>
      <c r="AB41" s="35">
        <v>0</v>
      </c>
      <c r="AC41" s="35">
        <v>0</v>
      </c>
      <c r="AD41" s="35">
        <v>0</v>
      </c>
      <c r="AE41" s="35">
        <v>0</v>
      </c>
      <c r="AF41" s="35">
        <v>0</v>
      </c>
      <c r="AG41" s="35">
        <v>0</v>
      </c>
      <c r="AH41" s="35">
        <v>0</v>
      </c>
      <c r="AI41" s="35">
        <v>0</v>
      </c>
      <c r="AJ41" s="35">
        <v>0</v>
      </c>
      <c r="AK41" s="35">
        <v>0</v>
      </c>
      <c r="AL41" s="35">
        <v>0</v>
      </c>
      <c r="AM41" s="35">
        <v>0</v>
      </c>
      <c r="AN41" s="35">
        <v>0</v>
      </c>
      <c r="AO41" s="35">
        <v>0</v>
      </c>
      <c r="AP41" s="35">
        <v>0</v>
      </c>
      <c r="AQ41" s="35">
        <v>0</v>
      </c>
      <c r="AR41" s="35">
        <v>0</v>
      </c>
      <c r="AS41" s="35">
        <v>0</v>
      </c>
      <c r="AT41" s="35">
        <v>0</v>
      </c>
      <c r="AU41" s="35"/>
      <c r="AV41" s="35"/>
      <c r="AW41" s="35"/>
      <c r="AX41" s="35"/>
      <c r="AY41" s="35"/>
      <c r="AZ41" s="35"/>
      <c r="BA41" s="35">
        <v>0</v>
      </c>
      <c r="BB41" s="35">
        <v>0</v>
      </c>
      <c r="BC41" s="35">
        <v>0</v>
      </c>
      <c r="BD41" s="35">
        <v>0</v>
      </c>
      <c r="BE41" s="35">
        <v>0</v>
      </c>
    </row>
    <row r="42" spans="1:57" hidden="1" outlineLevel="1" x14ac:dyDescent="0.2">
      <c r="A42" s="34" t="s">
        <v>110</v>
      </c>
      <c r="B42" s="35">
        <v>0</v>
      </c>
      <c r="C42" s="35">
        <v>0</v>
      </c>
      <c r="D42" s="35">
        <v>0</v>
      </c>
      <c r="E42" s="35">
        <v>0</v>
      </c>
      <c r="F42" s="35">
        <v>0</v>
      </c>
      <c r="G42" s="35">
        <v>0</v>
      </c>
      <c r="H42" s="35">
        <v>0</v>
      </c>
      <c r="I42" s="35">
        <v>0</v>
      </c>
      <c r="J42" s="35">
        <v>0</v>
      </c>
      <c r="K42" s="35">
        <v>0</v>
      </c>
      <c r="L42" s="35">
        <v>0</v>
      </c>
      <c r="M42" s="37">
        <v>0</v>
      </c>
      <c r="N42" s="35">
        <v>0</v>
      </c>
      <c r="O42" s="35">
        <v>0</v>
      </c>
      <c r="P42" s="35">
        <v>0</v>
      </c>
      <c r="Q42" s="35">
        <v>0</v>
      </c>
      <c r="R42" s="35">
        <v>0</v>
      </c>
      <c r="S42" s="35">
        <v>0</v>
      </c>
      <c r="T42" s="35">
        <v>0</v>
      </c>
      <c r="U42" s="35">
        <v>0</v>
      </c>
      <c r="V42" s="37">
        <v>0</v>
      </c>
      <c r="W42" s="35">
        <v>0</v>
      </c>
      <c r="X42" s="35">
        <v>0</v>
      </c>
      <c r="Y42" s="35">
        <v>0</v>
      </c>
      <c r="Z42" s="35">
        <v>0</v>
      </c>
      <c r="AA42" s="35">
        <v>0</v>
      </c>
      <c r="AB42" s="35">
        <v>0</v>
      </c>
      <c r="AC42" s="35">
        <v>0</v>
      </c>
      <c r="AD42" s="35">
        <v>0</v>
      </c>
      <c r="AE42" s="35">
        <v>0</v>
      </c>
      <c r="AF42" s="35">
        <v>0</v>
      </c>
      <c r="AG42" s="35">
        <v>0</v>
      </c>
      <c r="AH42" s="35">
        <v>0</v>
      </c>
      <c r="AI42" s="35">
        <v>0</v>
      </c>
      <c r="AJ42" s="35">
        <v>0</v>
      </c>
      <c r="AK42" s="35">
        <v>0</v>
      </c>
      <c r="AL42" s="35">
        <v>0</v>
      </c>
      <c r="AM42" s="35">
        <v>0</v>
      </c>
      <c r="AN42" s="35">
        <v>0</v>
      </c>
      <c r="AO42" s="35">
        <v>0</v>
      </c>
      <c r="AP42" s="35">
        <v>0</v>
      </c>
      <c r="AQ42" s="35">
        <v>0</v>
      </c>
      <c r="AR42" s="35">
        <v>0</v>
      </c>
      <c r="AS42" s="35">
        <v>0</v>
      </c>
      <c r="AT42" s="35">
        <v>0</v>
      </c>
      <c r="AU42" s="35"/>
      <c r="AV42" s="35"/>
      <c r="AW42" s="35"/>
      <c r="AX42" s="35"/>
      <c r="AY42" s="35"/>
      <c r="AZ42" s="35"/>
      <c r="BA42" s="35">
        <v>0</v>
      </c>
      <c r="BB42" s="35">
        <v>0</v>
      </c>
      <c r="BC42" s="35">
        <v>0</v>
      </c>
      <c r="BD42" s="35">
        <v>0</v>
      </c>
      <c r="BE42" s="35">
        <v>0</v>
      </c>
    </row>
    <row r="43" spans="1:57" hidden="1" outlineLevel="1" x14ac:dyDescent="0.2">
      <c r="A43" s="34" t="s">
        <v>104</v>
      </c>
      <c r="B43" s="35">
        <v>0</v>
      </c>
      <c r="C43" s="35">
        <v>0</v>
      </c>
      <c r="D43" s="35">
        <v>0</v>
      </c>
      <c r="E43" s="35">
        <v>0</v>
      </c>
      <c r="F43" s="35">
        <v>0</v>
      </c>
      <c r="G43" s="35">
        <v>0</v>
      </c>
      <c r="H43" s="35">
        <v>0</v>
      </c>
      <c r="I43" s="35">
        <v>0</v>
      </c>
      <c r="J43" s="35">
        <v>0</v>
      </c>
      <c r="K43" s="35">
        <v>0</v>
      </c>
      <c r="L43" s="35">
        <v>0</v>
      </c>
      <c r="M43" s="37">
        <v>0</v>
      </c>
      <c r="N43" s="35">
        <v>0</v>
      </c>
      <c r="O43" s="35">
        <v>0</v>
      </c>
      <c r="P43" s="35">
        <v>0</v>
      </c>
      <c r="Q43" s="35">
        <v>0</v>
      </c>
      <c r="R43" s="35">
        <v>0</v>
      </c>
      <c r="S43" s="35">
        <v>0</v>
      </c>
      <c r="T43" s="35">
        <v>0</v>
      </c>
      <c r="U43" s="35">
        <v>0</v>
      </c>
      <c r="V43" s="37">
        <v>0</v>
      </c>
      <c r="W43" s="35">
        <v>0</v>
      </c>
      <c r="X43" s="35">
        <v>0</v>
      </c>
      <c r="Y43" s="35">
        <v>0</v>
      </c>
      <c r="Z43" s="35">
        <v>0</v>
      </c>
      <c r="AA43" s="35">
        <v>0</v>
      </c>
      <c r="AB43" s="35">
        <v>0</v>
      </c>
      <c r="AC43" s="35">
        <v>0</v>
      </c>
      <c r="AD43" s="35">
        <v>0</v>
      </c>
      <c r="AE43" s="35">
        <v>0</v>
      </c>
      <c r="AF43" s="35">
        <v>0</v>
      </c>
      <c r="AG43" s="35">
        <v>0</v>
      </c>
      <c r="AH43" s="35">
        <v>0</v>
      </c>
      <c r="AI43" s="35">
        <v>0</v>
      </c>
      <c r="AJ43" s="35">
        <v>0</v>
      </c>
      <c r="AK43" s="35">
        <v>0</v>
      </c>
      <c r="AL43" s="35">
        <v>0</v>
      </c>
      <c r="AM43" s="35">
        <v>0</v>
      </c>
      <c r="AN43" s="35">
        <v>0</v>
      </c>
      <c r="AO43" s="35">
        <v>0</v>
      </c>
      <c r="AP43" s="35">
        <v>0</v>
      </c>
      <c r="AQ43" s="35">
        <v>0</v>
      </c>
      <c r="AR43" s="35">
        <v>0</v>
      </c>
      <c r="AS43" s="35">
        <v>0</v>
      </c>
      <c r="AT43" s="35">
        <v>0</v>
      </c>
      <c r="AU43" s="35"/>
      <c r="AV43" s="35"/>
      <c r="AW43" s="35"/>
      <c r="AX43" s="35"/>
      <c r="AY43" s="35"/>
      <c r="AZ43" s="35"/>
      <c r="BA43" s="35">
        <v>0</v>
      </c>
      <c r="BB43" s="35">
        <v>0</v>
      </c>
      <c r="BC43" s="35">
        <v>0</v>
      </c>
      <c r="BD43" s="35">
        <v>-29226.337200000002</v>
      </c>
      <c r="BE43" s="35">
        <v>0</v>
      </c>
    </row>
    <row r="44" spans="1:57" hidden="1" outlineLevel="1" x14ac:dyDescent="0.2">
      <c r="A44" s="34" t="s">
        <v>111</v>
      </c>
      <c r="B44" s="35">
        <v>0</v>
      </c>
      <c r="C44" s="35">
        <v>0</v>
      </c>
      <c r="D44" s="35">
        <v>0</v>
      </c>
      <c r="E44" s="35">
        <v>0</v>
      </c>
      <c r="F44" s="35">
        <v>0</v>
      </c>
      <c r="G44" s="35">
        <v>0</v>
      </c>
      <c r="H44" s="35">
        <v>0</v>
      </c>
      <c r="I44" s="35">
        <v>0</v>
      </c>
      <c r="J44" s="35">
        <v>0</v>
      </c>
      <c r="K44" s="35">
        <v>0</v>
      </c>
      <c r="L44" s="35">
        <v>0</v>
      </c>
      <c r="M44" s="37">
        <v>0</v>
      </c>
      <c r="N44" s="35">
        <v>0</v>
      </c>
      <c r="O44" s="35">
        <v>0</v>
      </c>
      <c r="P44" s="35">
        <v>0</v>
      </c>
      <c r="Q44" s="35">
        <v>0</v>
      </c>
      <c r="R44" s="35">
        <v>0</v>
      </c>
      <c r="S44" s="35">
        <v>0</v>
      </c>
      <c r="T44" s="35">
        <v>0</v>
      </c>
      <c r="U44" s="35">
        <v>0</v>
      </c>
      <c r="V44" s="37">
        <v>0</v>
      </c>
      <c r="W44" s="35">
        <v>0</v>
      </c>
      <c r="X44" s="35">
        <v>0</v>
      </c>
      <c r="Y44" s="35">
        <v>0</v>
      </c>
      <c r="Z44" s="35">
        <v>0</v>
      </c>
      <c r="AA44" s="35">
        <v>0</v>
      </c>
      <c r="AB44" s="35">
        <v>0</v>
      </c>
      <c r="AC44" s="35">
        <v>0</v>
      </c>
      <c r="AD44" s="35">
        <v>0</v>
      </c>
      <c r="AE44" s="35">
        <v>0</v>
      </c>
      <c r="AF44" s="35">
        <v>0</v>
      </c>
      <c r="AG44" s="35">
        <v>0</v>
      </c>
      <c r="AH44" s="35">
        <v>0</v>
      </c>
      <c r="AI44" s="35">
        <v>0</v>
      </c>
      <c r="AJ44" s="35">
        <v>0</v>
      </c>
      <c r="AK44" s="35">
        <v>0</v>
      </c>
      <c r="AL44" s="35">
        <v>0</v>
      </c>
      <c r="AM44" s="35">
        <v>0</v>
      </c>
      <c r="AN44" s="35">
        <v>0</v>
      </c>
      <c r="AO44" s="35">
        <v>0</v>
      </c>
      <c r="AP44" s="35">
        <v>0</v>
      </c>
      <c r="AQ44" s="35">
        <v>0</v>
      </c>
      <c r="AR44" s="35">
        <v>0</v>
      </c>
      <c r="AS44" s="35">
        <v>0</v>
      </c>
      <c r="AT44" s="35">
        <v>0</v>
      </c>
      <c r="AU44" s="35"/>
      <c r="AV44" s="35"/>
      <c r="AW44" s="35"/>
      <c r="AX44" s="35"/>
      <c r="AY44" s="35"/>
      <c r="AZ44" s="35"/>
      <c r="BA44" s="35">
        <v>0</v>
      </c>
      <c r="BB44" s="35">
        <v>0</v>
      </c>
      <c r="BC44" s="35">
        <v>0</v>
      </c>
      <c r="BD44" s="35">
        <v>-1.2636000000000001</v>
      </c>
      <c r="BE44" s="35">
        <v>0</v>
      </c>
    </row>
    <row r="45" spans="1:57" hidden="1" outlineLevel="1" x14ac:dyDescent="0.2">
      <c r="A45" s="34" t="s">
        <v>112</v>
      </c>
      <c r="B45" s="35">
        <v>0</v>
      </c>
      <c r="C45" s="35">
        <v>0</v>
      </c>
      <c r="D45" s="35">
        <v>0</v>
      </c>
      <c r="E45" s="35">
        <v>0</v>
      </c>
      <c r="F45" s="35">
        <v>0</v>
      </c>
      <c r="G45" s="35">
        <v>0</v>
      </c>
      <c r="H45" s="35">
        <v>0</v>
      </c>
      <c r="I45" s="35">
        <v>0</v>
      </c>
      <c r="J45" s="35">
        <v>0</v>
      </c>
      <c r="K45" s="35">
        <v>0</v>
      </c>
      <c r="L45" s="35">
        <v>0</v>
      </c>
      <c r="M45" s="37">
        <v>0</v>
      </c>
      <c r="N45" s="35">
        <v>0</v>
      </c>
      <c r="O45" s="35">
        <v>0</v>
      </c>
      <c r="P45" s="35">
        <v>0</v>
      </c>
      <c r="Q45" s="35">
        <v>0</v>
      </c>
      <c r="R45" s="35">
        <v>0</v>
      </c>
      <c r="S45" s="35">
        <v>0</v>
      </c>
      <c r="T45" s="35">
        <v>0</v>
      </c>
      <c r="U45" s="35">
        <v>0</v>
      </c>
      <c r="V45" s="37">
        <v>0</v>
      </c>
      <c r="W45" s="35">
        <v>0</v>
      </c>
      <c r="X45" s="35">
        <v>0</v>
      </c>
      <c r="Y45" s="35">
        <v>0</v>
      </c>
      <c r="Z45" s="35">
        <v>0</v>
      </c>
      <c r="AA45" s="35">
        <v>0</v>
      </c>
      <c r="AB45" s="35">
        <v>0</v>
      </c>
      <c r="AC45" s="35">
        <v>0</v>
      </c>
      <c r="AD45" s="35">
        <v>0</v>
      </c>
      <c r="AE45" s="35">
        <v>0</v>
      </c>
      <c r="AF45" s="35">
        <v>0</v>
      </c>
      <c r="AG45" s="35">
        <v>0</v>
      </c>
      <c r="AH45" s="35">
        <v>0</v>
      </c>
      <c r="AI45" s="35">
        <v>0</v>
      </c>
      <c r="AJ45" s="35">
        <v>0</v>
      </c>
      <c r="AK45" s="35">
        <v>0</v>
      </c>
      <c r="AL45" s="35">
        <v>0</v>
      </c>
      <c r="AM45" s="35">
        <v>0</v>
      </c>
      <c r="AN45" s="35">
        <v>0</v>
      </c>
      <c r="AO45" s="35">
        <v>0</v>
      </c>
      <c r="AP45" s="35">
        <v>0</v>
      </c>
      <c r="AQ45" s="35">
        <v>0</v>
      </c>
      <c r="AR45" s="35">
        <v>0</v>
      </c>
      <c r="AS45" s="35">
        <v>0</v>
      </c>
      <c r="AT45" s="35">
        <v>0</v>
      </c>
      <c r="AU45" s="35"/>
      <c r="AV45" s="35"/>
      <c r="AW45" s="35"/>
      <c r="AX45" s="35"/>
      <c r="AY45" s="35"/>
      <c r="AZ45" s="35"/>
      <c r="BA45" s="35">
        <v>0</v>
      </c>
      <c r="BB45" s="35">
        <v>0</v>
      </c>
      <c r="BC45" s="35">
        <v>0</v>
      </c>
      <c r="BD45" s="35">
        <v>-14755186.422</v>
      </c>
      <c r="BE45" s="35">
        <v>0</v>
      </c>
    </row>
    <row r="46" spans="1:57" hidden="1" outlineLevel="1" x14ac:dyDescent="0.2">
      <c r="A46" s="34" t="s">
        <v>113</v>
      </c>
      <c r="B46" s="35">
        <v>0</v>
      </c>
      <c r="C46" s="35">
        <v>0</v>
      </c>
      <c r="D46" s="35">
        <v>0</v>
      </c>
      <c r="E46" s="35">
        <v>0</v>
      </c>
      <c r="F46" s="35">
        <v>0</v>
      </c>
      <c r="G46" s="35">
        <v>0</v>
      </c>
      <c r="H46" s="35">
        <v>0</v>
      </c>
      <c r="I46" s="35">
        <v>0</v>
      </c>
      <c r="J46" s="35">
        <v>0</v>
      </c>
      <c r="K46" s="35">
        <v>0</v>
      </c>
      <c r="L46" s="35">
        <v>0</v>
      </c>
      <c r="M46" s="37">
        <v>0</v>
      </c>
      <c r="N46" s="35">
        <v>0</v>
      </c>
      <c r="O46" s="35">
        <v>0</v>
      </c>
      <c r="P46" s="35">
        <v>0</v>
      </c>
      <c r="Q46" s="35">
        <v>0</v>
      </c>
      <c r="R46" s="35">
        <v>0</v>
      </c>
      <c r="S46" s="35">
        <v>0</v>
      </c>
      <c r="T46" s="35">
        <v>0</v>
      </c>
      <c r="U46" s="35">
        <v>0</v>
      </c>
      <c r="V46" s="37">
        <v>0</v>
      </c>
      <c r="W46" s="35">
        <v>0</v>
      </c>
      <c r="X46" s="35">
        <v>0</v>
      </c>
      <c r="Y46" s="35">
        <v>0</v>
      </c>
      <c r="Z46" s="35">
        <v>0</v>
      </c>
      <c r="AA46" s="35">
        <v>0</v>
      </c>
      <c r="AB46" s="35">
        <v>0</v>
      </c>
      <c r="AC46" s="35">
        <v>0</v>
      </c>
      <c r="AD46" s="35">
        <v>0</v>
      </c>
      <c r="AE46" s="35">
        <v>0</v>
      </c>
      <c r="AF46" s="35">
        <v>0</v>
      </c>
      <c r="AG46" s="35">
        <v>0</v>
      </c>
      <c r="AH46" s="35">
        <v>0</v>
      </c>
      <c r="AI46" s="35">
        <v>0</v>
      </c>
      <c r="AJ46" s="35">
        <v>0</v>
      </c>
      <c r="AK46" s="35">
        <v>0</v>
      </c>
      <c r="AL46" s="35">
        <v>0</v>
      </c>
      <c r="AM46" s="35">
        <v>0</v>
      </c>
      <c r="AN46" s="35">
        <v>0</v>
      </c>
      <c r="AO46" s="35">
        <v>0</v>
      </c>
      <c r="AP46" s="35">
        <v>0</v>
      </c>
      <c r="AQ46" s="35">
        <v>0</v>
      </c>
      <c r="AR46" s="35">
        <v>0</v>
      </c>
      <c r="AS46" s="35">
        <v>0</v>
      </c>
      <c r="AT46" s="35">
        <v>0</v>
      </c>
      <c r="AU46" s="35"/>
      <c r="AV46" s="35"/>
      <c r="AW46" s="35"/>
      <c r="AX46" s="35"/>
      <c r="AY46" s="35"/>
      <c r="AZ46" s="35"/>
      <c r="BA46" s="35">
        <v>0</v>
      </c>
      <c r="BB46" s="35">
        <v>0</v>
      </c>
      <c r="BC46" s="35">
        <v>0</v>
      </c>
      <c r="BD46" s="35">
        <v>0</v>
      </c>
      <c r="BE46" s="35">
        <v>0</v>
      </c>
    </row>
    <row r="47" spans="1:57" hidden="1" outlineLevel="1" x14ac:dyDescent="0.2">
      <c r="A47" s="34" t="s">
        <v>114</v>
      </c>
      <c r="B47" s="35">
        <v>0</v>
      </c>
      <c r="C47" s="35">
        <v>0</v>
      </c>
      <c r="D47" s="35">
        <v>0</v>
      </c>
      <c r="E47" s="35">
        <v>0</v>
      </c>
      <c r="F47" s="35">
        <v>0</v>
      </c>
      <c r="G47" s="35">
        <v>0</v>
      </c>
      <c r="H47" s="35">
        <v>0</v>
      </c>
      <c r="I47" s="35">
        <v>0</v>
      </c>
      <c r="J47" s="35">
        <v>0</v>
      </c>
      <c r="K47" s="35">
        <v>0</v>
      </c>
      <c r="L47" s="35">
        <v>0</v>
      </c>
      <c r="M47" s="37">
        <v>0</v>
      </c>
      <c r="N47" s="35">
        <v>0</v>
      </c>
      <c r="O47" s="35">
        <v>0</v>
      </c>
      <c r="P47" s="35">
        <v>0</v>
      </c>
      <c r="Q47" s="35">
        <v>0</v>
      </c>
      <c r="R47" s="35">
        <v>0</v>
      </c>
      <c r="S47" s="35">
        <v>0</v>
      </c>
      <c r="T47" s="35">
        <v>0</v>
      </c>
      <c r="U47" s="35">
        <v>0</v>
      </c>
      <c r="V47" s="37">
        <v>0</v>
      </c>
      <c r="W47" s="35">
        <v>0</v>
      </c>
      <c r="X47" s="35">
        <v>0</v>
      </c>
      <c r="Y47" s="35">
        <v>0</v>
      </c>
      <c r="Z47" s="35">
        <v>0</v>
      </c>
      <c r="AA47" s="35">
        <v>0</v>
      </c>
      <c r="AB47" s="35">
        <v>0</v>
      </c>
      <c r="AC47" s="35">
        <v>0</v>
      </c>
      <c r="AD47" s="35">
        <v>0</v>
      </c>
      <c r="AE47" s="35">
        <v>0</v>
      </c>
      <c r="AF47" s="35">
        <v>0</v>
      </c>
      <c r="AG47" s="35">
        <v>0</v>
      </c>
      <c r="AH47" s="35">
        <v>0</v>
      </c>
      <c r="AI47" s="35">
        <v>0</v>
      </c>
      <c r="AJ47" s="35">
        <v>0</v>
      </c>
      <c r="AK47" s="35">
        <v>0</v>
      </c>
      <c r="AL47" s="35">
        <v>0</v>
      </c>
      <c r="AM47" s="35">
        <v>0</v>
      </c>
      <c r="AN47" s="35">
        <v>0</v>
      </c>
      <c r="AO47" s="35">
        <v>0</v>
      </c>
      <c r="AP47" s="35">
        <v>0</v>
      </c>
      <c r="AQ47" s="35">
        <v>0</v>
      </c>
      <c r="AR47" s="35">
        <v>0</v>
      </c>
      <c r="AS47" s="35">
        <v>0</v>
      </c>
      <c r="AT47" s="35">
        <v>0</v>
      </c>
      <c r="AU47" s="35"/>
      <c r="AV47" s="35"/>
      <c r="AW47" s="35"/>
      <c r="AX47" s="35"/>
      <c r="AY47" s="35"/>
      <c r="AZ47" s="35"/>
      <c r="BA47" s="35">
        <v>0</v>
      </c>
      <c r="BB47" s="35">
        <v>0</v>
      </c>
      <c r="BC47" s="35">
        <v>0</v>
      </c>
      <c r="BD47" s="35">
        <v>0</v>
      </c>
      <c r="BE47" s="35">
        <v>0</v>
      </c>
    </row>
    <row r="48" spans="1:57" hidden="1" outlineLevel="1" x14ac:dyDescent="0.2">
      <c r="A48" s="34"/>
      <c r="B48" s="35"/>
      <c r="C48" s="35"/>
      <c r="D48" s="35"/>
      <c r="E48" s="35"/>
      <c r="F48" s="35"/>
      <c r="G48" s="35"/>
      <c r="H48" s="35"/>
      <c r="I48" s="35"/>
      <c r="J48" s="35"/>
      <c r="K48" s="35"/>
      <c r="L48" s="35"/>
      <c r="M48" s="37"/>
      <c r="N48" s="35"/>
      <c r="O48" s="35"/>
      <c r="P48" s="35"/>
      <c r="Q48" s="35"/>
      <c r="R48" s="35"/>
      <c r="S48" s="35"/>
      <c r="T48" s="35"/>
      <c r="U48" s="35"/>
      <c r="V48" s="37"/>
      <c r="W48" s="35"/>
      <c r="X48" s="35"/>
      <c r="Y48" s="35"/>
      <c r="Z48" s="35"/>
      <c r="AA48" s="35"/>
      <c r="AB48" s="35"/>
      <c r="AC48" s="35"/>
      <c r="AD48" s="35"/>
      <c r="AE48" s="35"/>
      <c r="AF48" s="35"/>
      <c r="AG48" s="35"/>
      <c r="AH48" s="35"/>
      <c r="AI48" s="35"/>
      <c r="AJ48" s="35"/>
      <c r="AK48" s="35"/>
      <c r="AL48" s="35"/>
      <c r="AM48" s="35"/>
      <c r="AN48" s="35"/>
      <c r="AO48" s="35"/>
      <c r="AP48" s="35"/>
      <c r="AQ48" s="35"/>
      <c r="AR48" s="35"/>
      <c r="AS48" s="35"/>
      <c r="AT48" s="35"/>
      <c r="AU48" s="35"/>
      <c r="AV48" s="35"/>
      <c r="AW48" s="35"/>
      <c r="AX48" s="35"/>
      <c r="AY48" s="35"/>
      <c r="AZ48" s="35"/>
      <c r="BA48" s="35"/>
      <c r="BB48" s="35"/>
      <c r="BC48" s="35"/>
      <c r="BD48" s="35"/>
      <c r="BE48" s="35"/>
    </row>
    <row r="49" spans="1:57" hidden="1" outlineLevel="1" x14ac:dyDescent="0.2">
      <c r="A49" s="34" t="s">
        <v>115</v>
      </c>
      <c r="B49" s="35">
        <v>0</v>
      </c>
      <c r="C49" s="35">
        <v>0</v>
      </c>
      <c r="D49" s="35">
        <v>0</v>
      </c>
      <c r="E49" s="35">
        <v>0</v>
      </c>
      <c r="F49" s="35">
        <v>0</v>
      </c>
      <c r="G49" s="35">
        <v>0</v>
      </c>
      <c r="H49" s="35">
        <v>0</v>
      </c>
      <c r="I49" s="35">
        <v>0</v>
      </c>
      <c r="J49" s="35">
        <v>0</v>
      </c>
      <c r="K49" s="35">
        <v>0</v>
      </c>
      <c r="L49" s="35">
        <v>0</v>
      </c>
      <c r="M49" s="37">
        <v>0</v>
      </c>
      <c r="N49" s="35">
        <v>0</v>
      </c>
      <c r="O49" s="35">
        <v>0</v>
      </c>
      <c r="P49" s="35">
        <v>0</v>
      </c>
      <c r="Q49" s="35">
        <v>0</v>
      </c>
      <c r="R49" s="35">
        <v>0</v>
      </c>
      <c r="S49" s="35">
        <v>0</v>
      </c>
      <c r="T49" s="35">
        <v>0</v>
      </c>
      <c r="U49" s="35">
        <v>0</v>
      </c>
      <c r="V49" s="37">
        <v>0</v>
      </c>
      <c r="W49" s="35">
        <v>0</v>
      </c>
      <c r="X49" s="35">
        <v>0</v>
      </c>
      <c r="Y49" s="35">
        <v>0</v>
      </c>
      <c r="Z49" s="35">
        <v>0</v>
      </c>
      <c r="AA49" s="35">
        <v>0</v>
      </c>
      <c r="AB49" s="35">
        <v>0</v>
      </c>
      <c r="AC49" s="35">
        <v>0</v>
      </c>
      <c r="AD49" s="35">
        <v>0</v>
      </c>
      <c r="AE49" s="35">
        <v>0</v>
      </c>
      <c r="AF49" s="35">
        <v>0</v>
      </c>
      <c r="AG49" s="35">
        <v>0</v>
      </c>
      <c r="AH49" s="35">
        <v>0</v>
      </c>
      <c r="AI49" s="35">
        <v>0</v>
      </c>
      <c r="AJ49" s="35">
        <v>0</v>
      </c>
      <c r="AK49" s="35">
        <v>0</v>
      </c>
      <c r="AL49" s="35">
        <v>0</v>
      </c>
      <c r="AM49" s="35">
        <v>0</v>
      </c>
      <c r="AN49" s="35">
        <v>0</v>
      </c>
      <c r="AO49" s="35">
        <v>0</v>
      </c>
      <c r="AP49" s="35">
        <v>0</v>
      </c>
      <c r="AQ49" s="35">
        <v>0</v>
      </c>
      <c r="AR49" s="35">
        <v>0</v>
      </c>
      <c r="AS49" s="35">
        <v>0</v>
      </c>
      <c r="AT49" s="35">
        <v>0</v>
      </c>
      <c r="AU49" s="35"/>
      <c r="AV49" s="35"/>
      <c r="AW49" s="35"/>
      <c r="AX49" s="35"/>
      <c r="AY49" s="35"/>
      <c r="AZ49" s="35"/>
      <c r="BA49" s="35">
        <v>0</v>
      </c>
      <c r="BB49" s="35">
        <v>0</v>
      </c>
      <c r="BC49" s="35">
        <v>0</v>
      </c>
      <c r="BD49" s="35">
        <v>-33645.599999999999</v>
      </c>
      <c r="BE49" s="35">
        <v>0</v>
      </c>
    </row>
    <row r="50" spans="1:57" hidden="1" outlineLevel="1" x14ac:dyDescent="0.2">
      <c r="A50" s="34"/>
      <c r="B50" s="35"/>
      <c r="C50" s="35"/>
      <c r="D50" s="35"/>
      <c r="E50" s="35"/>
      <c r="F50" s="35"/>
      <c r="G50" s="35"/>
      <c r="H50" s="35"/>
      <c r="I50" s="35"/>
      <c r="J50" s="35"/>
      <c r="K50" s="35"/>
      <c r="L50" s="35"/>
      <c r="M50" s="37"/>
      <c r="N50" s="35"/>
      <c r="O50" s="35"/>
      <c r="P50" s="35"/>
      <c r="Q50" s="35"/>
      <c r="R50" s="35"/>
      <c r="S50" s="35"/>
      <c r="T50" s="35"/>
      <c r="U50" s="35"/>
      <c r="V50" s="37"/>
      <c r="W50" s="35"/>
      <c r="X50" s="35"/>
      <c r="Y50" s="35"/>
      <c r="Z50" s="35"/>
      <c r="AA50" s="35"/>
      <c r="AB50" s="35"/>
      <c r="AC50" s="35"/>
      <c r="AD50" s="35"/>
      <c r="AE50" s="35"/>
      <c r="AF50" s="35"/>
      <c r="AG50" s="35"/>
      <c r="AH50" s="35"/>
      <c r="AI50" s="35"/>
      <c r="AJ50" s="35"/>
      <c r="AK50" s="35"/>
      <c r="AL50" s="35"/>
      <c r="AM50" s="35"/>
      <c r="AN50" s="35"/>
      <c r="AO50" s="35"/>
      <c r="AP50" s="35"/>
      <c r="AQ50" s="35"/>
      <c r="AR50" s="35"/>
      <c r="AS50" s="35"/>
      <c r="AT50" s="35"/>
      <c r="AU50" s="35"/>
      <c r="AV50" s="35"/>
      <c r="AW50" s="35"/>
      <c r="AX50" s="35"/>
      <c r="AY50" s="35"/>
      <c r="AZ50" s="35"/>
      <c r="BA50" s="35"/>
      <c r="BB50" s="35"/>
      <c r="BC50" s="35"/>
      <c r="BD50" s="35"/>
      <c r="BE50" s="35"/>
    </row>
    <row r="51" spans="1:57" hidden="1" outlineLevel="1" x14ac:dyDescent="0.2">
      <c r="A51" s="38" t="s">
        <v>116</v>
      </c>
      <c r="B51" s="39">
        <v>663734.71900000004</v>
      </c>
      <c r="C51" s="39">
        <v>0</v>
      </c>
      <c r="D51" s="39">
        <v>25217.632000000001</v>
      </c>
      <c r="E51" s="39">
        <v>638517.08699999994</v>
      </c>
      <c r="F51" s="39">
        <v>0</v>
      </c>
      <c r="G51" s="39">
        <v>0</v>
      </c>
      <c r="H51" s="39">
        <v>0</v>
      </c>
      <c r="I51" s="39">
        <v>0</v>
      </c>
      <c r="J51" s="39">
        <v>50250.383099999992</v>
      </c>
      <c r="K51" s="39">
        <v>0</v>
      </c>
      <c r="L51" s="39">
        <v>0</v>
      </c>
      <c r="M51" s="40">
        <v>105684.59</v>
      </c>
      <c r="N51" s="39">
        <v>0</v>
      </c>
      <c r="O51" s="39">
        <v>15745</v>
      </c>
      <c r="P51" s="39">
        <v>0</v>
      </c>
      <c r="Q51" s="39">
        <v>190400</v>
      </c>
      <c r="R51" s="39">
        <v>0</v>
      </c>
      <c r="S51" s="39">
        <v>0</v>
      </c>
      <c r="T51" s="39">
        <v>0</v>
      </c>
      <c r="U51" s="39">
        <v>0</v>
      </c>
      <c r="V51" s="40">
        <v>0</v>
      </c>
      <c r="W51" s="39">
        <v>0</v>
      </c>
      <c r="X51" s="39">
        <v>0</v>
      </c>
      <c r="Y51" s="39">
        <v>0</v>
      </c>
      <c r="Z51" s="39">
        <v>0</v>
      </c>
      <c r="AA51" s="39">
        <v>0</v>
      </c>
      <c r="AB51" s="39">
        <v>0</v>
      </c>
      <c r="AC51" s="39">
        <v>1.6972419999999998E-2</v>
      </c>
      <c r="AD51" s="39">
        <v>0</v>
      </c>
      <c r="AE51" s="39">
        <v>13378.4843076</v>
      </c>
      <c r="AF51" s="39">
        <v>386092.56833280012</v>
      </c>
      <c r="AG51" s="39">
        <v>744.7462524</v>
      </c>
      <c r="AH51" s="39">
        <v>0</v>
      </c>
      <c r="AI51" s="39">
        <v>77942.941602399995</v>
      </c>
      <c r="AJ51" s="39">
        <v>27318.930686</v>
      </c>
      <c r="AK51" s="39">
        <v>320332.53568620002</v>
      </c>
      <c r="AL51" s="39">
        <v>19801.047635200001</v>
      </c>
      <c r="AM51" s="39">
        <v>0</v>
      </c>
      <c r="AN51" s="39">
        <v>8507.9909532000001</v>
      </c>
      <c r="AO51" s="39">
        <v>34390.733215200002</v>
      </c>
      <c r="AP51" s="39">
        <v>12287.075167200001</v>
      </c>
      <c r="AQ51" s="39">
        <v>324.40604039999999</v>
      </c>
      <c r="AR51" s="39">
        <v>0</v>
      </c>
      <c r="AS51" s="39">
        <v>12783.95376</v>
      </c>
      <c r="AT51" s="39">
        <v>0</v>
      </c>
      <c r="AU51" s="39"/>
      <c r="AV51" s="39"/>
      <c r="AW51" s="39"/>
      <c r="AX51" s="39"/>
      <c r="AY51" s="39"/>
      <c r="AZ51" s="39"/>
      <c r="BA51" s="39">
        <v>0</v>
      </c>
      <c r="BB51" s="39">
        <v>0</v>
      </c>
      <c r="BC51" s="39">
        <v>0</v>
      </c>
      <c r="BD51" s="39">
        <v>776660.7973032</v>
      </c>
      <c r="BE51" s="39">
        <v>0</v>
      </c>
    </row>
    <row r="52" spans="1:57" hidden="1" outlineLevel="1" x14ac:dyDescent="0.2">
      <c r="A52" s="34"/>
      <c r="B52" s="35"/>
      <c r="C52" s="35"/>
      <c r="D52" s="35"/>
      <c r="E52" s="35"/>
      <c r="F52" s="35"/>
      <c r="G52" s="35"/>
      <c r="H52" s="35"/>
      <c r="I52" s="35"/>
      <c r="J52" s="35"/>
      <c r="K52" s="35"/>
      <c r="L52" s="35"/>
      <c r="M52" s="37"/>
      <c r="N52" s="35"/>
      <c r="O52" s="35"/>
      <c r="P52" s="35"/>
      <c r="Q52" s="35"/>
      <c r="R52" s="35"/>
      <c r="S52" s="35"/>
      <c r="T52" s="35"/>
      <c r="U52" s="35"/>
      <c r="V52" s="37"/>
      <c r="W52" s="35"/>
      <c r="X52" s="35"/>
      <c r="Y52" s="35"/>
      <c r="Z52" s="35"/>
      <c r="AA52" s="35"/>
      <c r="AB52" s="35"/>
      <c r="AC52" s="35"/>
      <c r="AD52" s="35"/>
      <c r="AE52" s="35"/>
      <c r="AF52" s="35"/>
      <c r="AG52" s="35"/>
      <c r="AH52" s="35"/>
      <c r="AI52" s="35"/>
      <c r="AJ52" s="35"/>
      <c r="AK52" s="35"/>
      <c r="AL52" s="35"/>
      <c r="AM52" s="35"/>
      <c r="AN52" s="35"/>
      <c r="AO52" s="35"/>
      <c r="AP52" s="35"/>
      <c r="AQ52" s="35"/>
      <c r="AR52" s="35"/>
      <c r="AS52" s="35"/>
      <c r="AT52" s="35"/>
      <c r="AU52" s="35"/>
      <c r="AV52" s="35"/>
      <c r="AW52" s="35"/>
      <c r="AX52" s="35"/>
      <c r="AY52" s="35"/>
      <c r="AZ52" s="35"/>
      <c r="BA52" s="35"/>
      <c r="BB52" s="35"/>
      <c r="BC52" s="35"/>
      <c r="BD52" s="35"/>
      <c r="BE52" s="35"/>
    </row>
    <row r="53" spans="1:57" hidden="1" outlineLevel="1" x14ac:dyDescent="0.2">
      <c r="A53" s="34" t="s">
        <v>117</v>
      </c>
      <c r="B53" s="35">
        <v>433968.5</v>
      </c>
      <c r="C53" s="35">
        <v>0</v>
      </c>
      <c r="D53" s="35">
        <v>20677.960999999999</v>
      </c>
      <c r="E53" s="35">
        <v>413290.53899999999</v>
      </c>
      <c r="F53" s="35">
        <v>0</v>
      </c>
      <c r="G53" s="35">
        <v>0</v>
      </c>
      <c r="H53" s="35">
        <v>0</v>
      </c>
      <c r="I53" s="35">
        <v>0</v>
      </c>
      <c r="J53" s="35">
        <v>50250.383099999992</v>
      </c>
      <c r="K53" s="35">
        <v>0</v>
      </c>
      <c r="L53" s="35">
        <v>0</v>
      </c>
      <c r="M53" s="37">
        <v>104820.36</v>
      </c>
      <c r="N53" s="35">
        <v>0</v>
      </c>
      <c r="O53" s="35">
        <v>15745</v>
      </c>
      <c r="P53" s="35">
        <v>0</v>
      </c>
      <c r="Q53" s="35">
        <v>0</v>
      </c>
      <c r="R53" s="35">
        <v>0</v>
      </c>
      <c r="S53" s="35">
        <v>0</v>
      </c>
      <c r="T53" s="35">
        <v>0</v>
      </c>
      <c r="U53" s="35">
        <v>0</v>
      </c>
      <c r="V53" s="37">
        <v>0</v>
      </c>
      <c r="W53" s="35">
        <v>0</v>
      </c>
      <c r="X53" s="35">
        <v>0</v>
      </c>
      <c r="Y53" s="35">
        <v>0</v>
      </c>
      <c r="Z53" s="35">
        <v>0</v>
      </c>
      <c r="AA53" s="35">
        <v>0</v>
      </c>
      <c r="AB53" s="35">
        <v>0</v>
      </c>
      <c r="AC53" s="35">
        <v>0</v>
      </c>
      <c r="AD53" s="35">
        <v>0</v>
      </c>
      <c r="AE53" s="35">
        <v>3.8634099000000002</v>
      </c>
      <c r="AF53" s="35">
        <v>529.19315280000001</v>
      </c>
      <c r="AG53" s="35">
        <v>0</v>
      </c>
      <c r="AH53" s="35">
        <v>0</v>
      </c>
      <c r="AI53" s="35">
        <v>0</v>
      </c>
      <c r="AJ53" s="35">
        <v>598.82638899999995</v>
      </c>
      <c r="AK53" s="35">
        <v>36014.976280800001</v>
      </c>
      <c r="AL53" s="35">
        <v>167.0164704</v>
      </c>
      <c r="AM53" s="35">
        <v>0</v>
      </c>
      <c r="AN53" s="35">
        <v>27.6729162</v>
      </c>
      <c r="AO53" s="35">
        <v>3461.8092918000002</v>
      </c>
      <c r="AP53" s="35">
        <v>7051.7770679999994</v>
      </c>
      <c r="AQ53" s="35">
        <v>2.6431499999999999</v>
      </c>
      <c r="AR53" s="35">
        <v>0</v>
      </c>
      <c r="AS53" s="35">
        <v>0</v>
      </c>
      <c r="AT53" s="35">
        <v>0</v>
      </c>
      <c r="AU53" s="35"/>
      <c r="AV53" s="35"/>
      <c r="AW53" s="35"/>
      <c r="AX53" s="35"/>
      <c r="AY53" s="35"/>
      <c r="AZ53" s="35"/>
      <c r="BA53" s="35">
        <v>0</v>
      </c>
      <c r="BB53" s="35">
        <v>0</v>
      </c>
      <c r="BC53" s="35">
        <v>0</v>
      </c>
      <c r="BD53" s="35">
        <v>419871.14640000003</v>
      </c>
      <c r="BE53" s="35">
        <v>0</v>
      </c>
    </row>
    <row r="54" spans="1:57" hidden="1" outlineLevel="1" x14ac:dyDescent="0.2">
      <c r="A54" s="34" t="s">
        <v>118</v>
      </c>
      <c r="B54" s="35">
        <v>128621.87300000001</v>
      </c>
      <c r="C54" s="35">
        <v>0</v>
      </c>
      <c r="D54" s="35">
        <v>11227.115</v>
      </c>
      <c r="E54" s="35">
        <v>117394.758</v>
      </c>
      <c r="F54" s="35">
        <v>0</v>
      </c>
      <c r="G54" s="35">
        <v>0</v>
      </c>
      <c r="H54" s="35">
        <v>0</v>
      </c>
      <c r="I54" s="35">
        <v>0</v>
      </c>
      <c r="J54" s="35">
        <v>50250.383099999992</v>
      </c>
      <c r="K54" s="35">
        <v>0</v>
      </c>
      <c r="L54" s="35">
        <v>0</v>
      </c>
      <c r="M54" s="37">
        <v>21976.1</v>
      </c>
      <c r="N54" s="35">
        <v>0</v>
      </c>
      <c r="O54" s="35">
        <v>15745</v>
      </c>
      <c r="P54" s="35">
        <v>0</v>
      </c>
      <c r="Q54" s="35">
        <v>0</v>
      </c>
      <c r="R54" s="35">
        <v>0</v>
      </c>
      <c r="S54" s="35">
        <v>0</v>
      </c>
      <c r="T54" s="35">
        <v>0</v>
      </c>
      <c r="U54" s="35">
        <v>0</v>
      </c>
      <c r="V54" s="37">
        <v>0</v>
      </c>
      <c r="W54" s="35">
        <v>0</v>
      </c>
      <c r="X54" s="35">
        <v>0</v>
      </c>
      <c r="Y54" s="35">
        <v>0</v>
      </c>
      <c r="Z54" s="35">
        <v>0</v>
      </c>
      <c r="AA54" s="35">
        <v>0</v>
      </c>
      <c r="AB54" s="35">
        <v>0</v>
      </c>
      <c r="AC54" s="35">
        <v>0</v>
      </c>
      <c r="AD54" s="35">
        <v>0</v>
      </c>
      <c r="AE54" s="35">
        <v>0</v>
      </c>
      <c r="AF54" s="35">
        <v>0</v>
      </c>
      <c r="AG54" s="35">
        <v>0</v>
      </c>
      <c r="AH54" s="35">
        <v>0</v>
      </c>
      <c r="AI54" s="35">
        <v>0</v>
      </c>
      <c r="AJ54" s="35">
        <v>0</v>
      </c>
      <c r="AK54" s="35">
        <v>0</v>
      </c>
      <c r="AL54" s="35">
        <v>0</v>
      </c>
      <c r="AM54" s="35">
        <v>0</v>
      </c>
      <c r="AN54" s="35">
        <v>0</v>
      </c>
      <c r="AO54" s="35">
        <v>0</v>
      </c>
      <c r="AP54" s="35">
        <v>0</v>
      </c>
      <c r="AQ54" s="35">
        <v>0</v>
      </c>
      <c r="AR54" s="35">
        <v>0</v>
      </c>
      <c r="AS54" s="35">
        <v>0</v>
      </c>
      <c r="AT54" s="35">
        <v>0</v>
      </c>
      <c r="AU54" s="35"/>
      <c r="AV54" s="35"/>
      <c r="AW54" s="35"/>
      <c r="AX54" s="35"/>
      <c r="AY54" s="35"/>
      <c r="AZ54" s="35"/>
      <c r="BA54" s="35">
        <v>0</v>
      </c>
      <c r="BB54" s="35">
        <v>0</v>
      </c>
      <c r="BC54" s="35">
        <v>0</v>
      </c>
      <c r="BD54" s="35">
        <v>76832.351999999984</v>
      </c>
      <c r="BE54" s="35">
        <v>0</v>
      </c>
    </row>
    <row r="55" spans="1:57" hidden="1" outlineLevel="1" x14ac:dyDescent="0.2">
      <c r="A55" s="34" t="s">
        <v>119</v>
      </c>
      <c r="B55" s="35">
        <v>52210.51</v>
      </c>
      <c r="C55" s="35">
        <v>0</v>
      </c>
      <c r="D55" s="35">
        <v>1368.6189999999999</v>
      </c>
      <c r="E55" s="35">
        <v>50841.890999999989</v>
      </c>
      <c r="F55" s="35">
        <v>0</v>
      </c>
      <c r="G55" s="35">
        <v>0</v>
      </c>
      <c r="H55" s="35">
        <v>0</v>
      </c>
      <c r="I55" s="35">
        <v>0</v>
      </c>
      <c r="J55" s="35">
        <v>0</v>
      </c>
      <c r="K55" s="35">
        <v>0</v>
      </c>
      <c r="L55" s="35">
        <v>0</v>
      </c>
      <c r="M55" s="37">
        <v>59121.91</v>
      </c>
      <c r="N55" s="35">
        <v>0</v>
      </c>
      <c r="O55" s="35">
        <v>0</v>
      </c>
      <c r="P55" s="35">
        <v>0</v>
      </c>
      <c r="Q55" s="35">
        <v>0</v>
      </c>
      <c r="R55" s="35">
        <v>0</v>
      </c>
      <c r="S55" s="35">
        <v>0</v>
      </c>
      <c r="T55" s="35">
        <v>0</v>
      </c>
      <c r="U55" s="35">
        <v>0</v>
      </c>
      <c r="V55" s="37">
        <v>0</v>
      </c>
      <c r="W55" s="35">
        <v>0</v>
      </c>
      <c r="X55" s="35">
        <v>0</v>
      </c>
      <c r="Y55" s="35">
        <v>0</v>
      </c>
      <c r="Z55" s="35">
        <v>0</v>
      </c>
      <c r="AA55" s="35">
        <v>0</v>
      </c>
      <c r="AB55" s="35">
        <v>0</v>
      </c>
      <c r="AC55" s="35">
        <v>0</v>
      </c>
      <c r="AD55" s="35">
        <v>0</v>
      </c>
      <c r="AE55" s="35">
        <v>0</v>
      </c>
      <c r="AF55" s="35">
        <v>0</v>
      </c>
      <c r="AG55" s="35">
        <v>0</v>
      </c>
      <c r="AH55" s="35">
        <v>0</v>
      </c>
      <c r="AI55" s="35">
        <v>0</v>
      </c>
      <c r="AJ55" s="35">
        <v>0</v>
      </c>
      <c r="AK55" s="35">
        <v>0</v>
      </c>
      <c r="AL55" s="35">
        <v>0</v>
      </c>
      <c r="AM55" s="35">
        <v>0</v>
      </c>
      <c r="AN55" s="35">
        <v>0</v>
      </c>
      <c r="AO55" s="35">
        <v>0</v>
      </c>
      <c r="AP55" s="35">
        <v>0</v>
      </c>
      <c r="AQ55" s="35">
        <v>0</v>
      </c>
      <c r="AR55" s="35">
        <v>0</v>
      </c>
      <c r="AS55" s="35">
        <v>0</v>
      </c>
      <c r="AT55" s="35">
        <v>0</v>
      </c>
      <c r="AU55" s="35"/>
      <c r="AV55" s="35"/>
      <c r="AW55" s="35"/>
      <c r="AX55" s="35"/>
      <c r="AY55" s="35"/>
      <c r="AZ55" s="35"/>
      <c r="BA55" s="35">
        <v>0</v>
      </c>
      <c r="BB55" s="35">
        <v>0</v>
      </c>
      <c r="BC55" s="35">
        <v>0</v>
      </c>
      <c r="BD55" s="35">
        <v>36292.392</v>
      </c>
      <c r="BE55" s="35">
        <v>0</v>
      </c>
    </row>
    <row r="56" spans="1:57" hidden="1" outlineLevel="1" x14ac:dyDescent="0.2">
      <c r="A56" s="34" t="s">
        <v>120</v>
      </c>
      <c r="B56" s="35">
        <v>0</v>
      </c>
      <c r="C56" s="35">
        <v>0</v>
      </c>
      <c r="D56" s="35">
        <v>0</v>
      </c>
      <c r="E56" s="35">
        <v>0</v>
      </c>
      <c r="F56" s="35">
        <v>0</v>
      </c>
      <c r="G56" s="35">
        <v>0</v>
      </c>
      <c r="H56" s="35">
        <v>0</v>
      </c>
      <c r="I56" s="35">
        <v>0</v>
      </c>
      <c r="J56" s="35">
        <v>0</v>
      </c>
      <c r="K56" s="35">
        <v>0</v>
      </c>
      <c r="L56" s="35">
        <v>0</v>
      </c>
      <c r="M56" s="37">
        <v>0</v>
      </c>
      <c r="N56" s="35">
        <v>0</v>
      </c>
      <c r="O56" s="35">
        <v>0</v>
      </c>
      <c r="P56" s="35">
        <v>0</v>
      </c>
      <c r="Q56" s="35">
        <v>0</v>
      </c>
      <c r="R56" s="35">
        <v>0</v>
      </c>
      <c r="S56" s="35">
        <v>0</v>
      </c>
      <c r="T56" s="35">
        <v>0</v>
      </c>
      <c r="U56" s="35">
        <v>0</v>
      </c>
      <c r="V56" s="37">
        <v>0</v>
      </c>
      <c r="W56" s="35">
        <v>0</v>
      </c>
      <c r="X56" s="35">
        <v>0</v>
      </c>
      <c r="Y56" s="35">
        <v>0</v>
      </c>
      <c r="Z56" s="35">
        <v>0</v>
      </c>
      <c r="AA56" s="35">
        <v>0</v>
      </c>
      <c r="AB56" s="35">
        <v>0</v>
      </c>
      <c r="AC56" s="35">
        <v>0</v>
      </c>
      <c r="AD56" s="35">
        <v>0</v>
      </c>
      <c r="AE56" s="35">
        <v>0</v>
      </c>
      <c r="AF56" s="35">
        <v>0</v>
      </c>
      <c r="AG56" s="35">
        <v>0</v>
      </c>
      <c r="AH56" s="35">
        <v>0</v>
      </c>
      <c r="AI56" s="35">
        <v>0</v>
      </c>
      <c r="AJ56" s="35">
        <v>0</v>
      </c>
      <c r="AK56" s="35">
        <v>0</v>
      </c>
      <c r="AL56" s="35">
        <v>0</v>
      </c>
      <c r="AM56" s="35">
        <v>0</v>
      </c>
      <c r="AN56" s="35">
        <v>0</v>
      </c>
      <c r="AO56" s="35">
        <v>0</v>
      </c>
      <c r="AP56" s="35">
        <v>0</v>
      </c>
      <c r="AQ56" s="35">
        <v>0</v>
      </c>
      <c r="AR56" s="35">
        <v>0</v>
      </c>
      <c r="AS56" s="35">
        <v>0</v>
      </c>
      <c r="AT56" s="35">
        <v>0</v>
      </c>
      <c r="AU56" s="35"/>
      <c r="AV56" s="35"/>
      <c r="AW56" s="35"/>
      <c r="AX56" s="35"/>
      <c r="AY56" s="35"/>
      <c r="AZ56" s="35"/>
      <c r="BA56" s="35">
        <v>0</v>
      </c>
      <c r="BB56" s="35">
        <v>0</v>
      </c>
      <c r="BC56" s="35">
        <v>0</v>
      </c>
      <c r="BD56" s="35">
        <v>67105.584000000003</v>
      </c>
      <c r="BE56" s="35">
        <v>0</v>
      </c>
    </row>
    <row r="57" spans="1:57" hidden="1" outlineLevel="1" x14ac:dyDescent="0.2">
      <c r="A57" s="34" t="s">
        <v>121</v>
      </c>
      <c r="B57" s="35">
        <v>27617.46</v>
      </c>
      <c r="C57" s="35">
        <v>0</v>
      </c>
      <c r="D57" s="35">
        <v>7354.9049999999997</v>
      </c>
      <c r="E57" s="35">
        <v>20262.555</v>
      </c>
      <c r="F57" s="35">
        <v>0</v>
      </c>
      <c r="G57" s="35">
        <v>0</v>
      </c>
      <c r="H57" s="35">
        <v>0</v>
      </c>
      <c r="I57" s="35">
        <v>0</v>
      </c>
      <c r="J57" s="35">
        <v>0</v>
      </c>
      <c r="K57" s="35">
        <v>0</v>
      </c>
      <c r="L57" s="35">
        <v>0</v>
      </c>
      <c r="M57" s="37">
        <v>7868.5</v>
      </c>
      <c r="N57" s="35">
        <v>0</v>
      </c>
      <c r="O57" s="35">
        <v>0</v>
      </c>
      <c r="P57" s="35">
        <v>0</v>
      </c>
      <c r="Q57" s="35">
        <v>0</v>
      </c>
      <c r="R57" s="35">
        <v>0</v>
      </c>
      <c r="S57" s="35">
        <v>0</v>
      </c>
      <c r="T57" s="35">
        <v>0</v>
      </c>
      <c r="U57" s="35">
        <v>0</v>
      </c>
      <c r="V57" s="37">
        <v>0</v>
      </c>
      <c r="W57" s="35">
        <v>0</v>
      </c>
      <c r="X57" s="35">
        <v>0</v>
      </c>
      <c r="Y57" s="35">
        <v>0</v>
      </c>
      <c r="Z57" s="35">
        <v>0</v>
      </c>
      <c r="AA57" s="35">
        <v>0</v>
      </c>
      <c r="AB57" s="35">
        <v>0</v>
      </c>
      <c r="AC57" s="35">
        <v>0</v>
      </c>
      <c r="AD57" s="35">
        <v>0</v>
      </c>
      <c r="AE57" s="35">
        <v>0</v>
      </c>
      <c r="AF57" s="35">
        <v>0</v>
      </c>
      <c r="AG57" s="35">
        <v>0</v>
      </c>
      <c r="AH57" s="35">
        <v>0</v>
      </c>
      <c r="AI57" s="35">
        <v>0</v>
      </c>
      <c r="AJ57" s="35">
        <v>0</v>
      </c>
      <c r="AK57" s="35">
        <v>0</v>
      </c>
      <c r="AL57" s="35">
        <v>0</v>
      </c>
      <c r="AM57" s="35">
        <v>0</v>
      </c>
      <c r="AN57" s="35">
        <v>0</v>
      </c>
      <c r="AO57" s="35">
        <v>0</v>
      </c>
      <c r="AP57" s="35">
        <v>0</v>
      </c>
      <c r="AQ57" s="35">
        <v>0</v>
      </c>
      <c r="AR57" s="35">
        <v>0</v>
      </c>
      <c r="AS57" s="35">
        <v>0</v>
      </c>
      <c r="AT57" s="35">
        <v>0</v>
      </c>
      <c r="AU57" s="35"/>
      <c r="AV57" s="35"/>
      <c r="AW57" s="35"/>
      <c r="AX57" s="35"/>
      <c r="AY57" s="35"/>
      <c r="AZ57" s="35"/>
      <c r="BA57" s="35">
        <v>0</v>
      </c>
      <c r="BB57" s="35">
        <v>0</v>
      </c>
      <c r="BC57" s="35">
        <v>0</v>
      </c>
      <c r="BD57" s="35">
        <v>9380.6639999999989</v>
      </c>
      <c r="BE57" s="35">
        <v>0</v>
      </c>
    </row>
    <row r="58" spans="1:57" hidden="1" outlineLevel="1" x14ac:dyDescent="0.2">
      <c r="A58" s="34" t="s">
        <v>122</v>
      </c>
      <c r="B58" s="35">
        <v>0</v>
      </c>
      <c r="C58" s="35">
        <v>0</v>
      </c>
      <c r="D58" s="35">
        <v>0</v>
      </c>
      <c r="E58" s="35">
        <v>0</v>
      </c>
      <c r="F58" s="35">
        <v>0</v>
      </c>
      <c r="G58" s="35">
        <v>0</v>
      </c>
      <c r="H58" s="35">
        <v>0</v>
      </c>
      <c r="I58" s="35">
        <v>0</v>
      </c>
      <c r="J58" s="35">
        <v>0</v>
      </c>
      <c r="K58" s="35">
        <v>0</v>
      </c>
      <c r="L58" s="35">
        <v>0</v>
      </c>
      <c r="M58" s="37">
        <v>0</v>
      </c>
      <c r="N58" s="35">
        <v>0</v>
      </c>
      <c r="O58" s="35">
        <v>0</v>
      </c>
      <c r="P58" s="35">
        <v>0</v>
      </c>
      <c r="Q58" s="35">
        <v>0</v>
      </c>
      <c r="R58" s="35">
        <v>0</v>
      </c>
      <c r="S58" s="35">
        <v>0</v>
      </c>
      <c r="T58" s="35">
        <v>0</v>
      </c>
      <c r="U58" s="35">
        <v>0</v>
      </c>
      <c r="V58" s="37">
        <v>0</v>
      </c>
      <c r="W58" s="35">
        <v>0</v>
      </c>
      <c r="X58" s="35">
        <v>0</v>
      </c>
      <c r="Y58" s="35">
        <v>0</v>
      </c>
      <c r="Z58" s="35">
        <v>0</v>
      </c>
      <c r="AA58" s="35">
        <v>0</v>
      </c>
      <c r="AB58" s="35">
        <v>0</v>
      </c>
      <c r="AC58" s="35">
        <v>0</v>
      </c>
      <c r="AD58" s="35">
        <v>0</v>
      </c>
      <c r="AE58" s="35">
        <v>0</v>
      </c>
      <c r="AF58" s="35">
        <v>0</v>
      </c>
      <c r="AG58" s="35">
        <v>0</v>
      </c>
      <c r="AH58" s="35">
        <v>0</v>
      </c>
      <c r="AI58" s="35">
        <v>0</v>
      </c>
      <c r="AJ58" s="35">
        <v>0</v>
      </c>
      <c r="AK58" s="35">
        <v>0</v>
      </c>
      <c r="AL58" s="35">
        <v>0</v>
      </c>
      <c r="AM58" s="35">
        <v>0</v>
      </c>
      <c r="AN58" s="35">
        <v>0</v>
      </c>
      <c r="AO58" s="35">
        <v>0</v>
      </c>
      <c r="AP58" s="35">
        <v>0</v>
      </c>
      <c r="AQ58" s="35">
        <v>0</v>
      </c>
      <c r="AR58" s="35">
        <v>0</v>
      </c>
      <c r="AS58" s="35">
        <v>0</v>
      </c>
      <c r="AT58" s="35">
        <v>0</v>
      </c>
      <c r="AU58" s="35"/>
      <c r="AV58" s="35"/>
      <c r="AW58" s="35"/>
      <c r="AX58" s="35"/>
      <c r="AY58" s="35"/>
      <c r="AZ58" s="35"/>
      <c r="BA58" s="35">
        <v>0</v>
      </c>
      <c r="BB58" s="35">
        <v>0</v>
      </c>
      <c r="BC58" s="35">
        <v>0</v>
      </c>
      <c r="BD58" s="35">
        <v>329.36399999999998</v>
      </c>
      <c r="BE58" s="35">
        <v>0</v>
      </c>
    </row>
    <row r="59" spans="1:57" hidden="1" outlineLevel="1" x14ac:dyDescent="0.2">
      <c r="A59" s="34" t="s">
        <v>123</v>
      </c>
      <c r="B59" s="35">
        <v>0</v>
      </c>
      <c r="C59" s="35">
        <v>0</v>
      </c>
      <c r="D59" s="35">
        <v>0</v>
      </c>
      <c r="E59" s="35">
        <v>0</v>
      </c>
      <c r="F59" s="35">
        <v>0</v>
      </c>
      <c r="G59" s="35">
        <v>0</v>
      </c>
      <c r="H59" s="35">
        <v>0</v>
      </c>
      <c r="I59" s="35">
        <v>0</v>
      </c>
      <c r="J59" s="35">
        <v>0</v>
      </c>
      <c r="K59" s="35">
        <v>0</v>
      </c>
      <c r="L59" s="35">
        <v>0</v>
      </c>
      <c r="M59" s="37">
        <v>2328.61</v>
      </c>
      <c r="N59" s="35">
        <v>0</v>
      </c>
      <c r="O59" s="35">
        <v>0</v>
      </c>
      <c r="P59" s="35">
        <v>0</v>
      </c>
      <c r="Q59" s="35">
        <v>0</v>
      </c>
      <c r="R59" s="35">
        <v>0</v>
      </c>
      <c r="S59" s="35">
        <v>0</v>
      </c>
      <c r="T59" s="35">
        <v>0</v>
      </c>
      <c r="U59" s="35">
        <v>0</v>
      </c>
      <c r="V59" s="37">
        <v>0</v>
      </c>
      <c r="W59" s="35">
        <v>0</v>
      </c>
      <c r="X59" s="35">
        <v>0</v>
      </c>
      <c r="Y59" s="35">
        <v>0</v>
      </c>
      <c r="Z59" s="35">
        <v>0</v>
      </c>
      <c r="AA59" s="35">
        <v>0</v>
      </c>
      <c r="AB59" s="35">
        <v>0</v>
      </c>
      <c r="AC59" s="35">
        <v>0</v>
      </c>
      <c r="AD59" s="35">
        <v>0</v>
      </c>
      <c r="AE59" s="35">
        <v>0</v>
      </c>
      <c r="AF59" s="35">
        <v>0</v>
      </c>
      <c r="AG59" s="35">
        <v>0</v>
      </c>
      <c r="AH59" s="35">
        <v>0</v>
      </c>
      <c r="AI59" s="35">
        <v>0</v>
      </c>
      <c r="AJ59" s="35">
        <v>0</v>
      </c>
      <c r="AK59" s="35">
        <v>0</v>
      </c>
      <c r="AL59" s="35">
        <v>0</v>
      </c>
      <c r="AM59" s="35">
        <v>0</v>
      </c>
      <c r="AN59" s="35">
        <v>0</v>
      </c>
      <c r="AO59" s="35">
        <v>0</v>
      </c>
      <c r="AP59" s="35">
        <v>0</v>
      </c>
      <c r="AQ59" s="35">
        <v>0</v>
      </c>
      <c r="AR59" s="35">
        <v>0</v>
      </c>
      <c r="AS59" s="35">
        <v>0</v>
      </c>
      <c r="AT59" s="35">
        <v>0</v>
      </c>
      <c r="AU59" s="35"/>
      <c r="AV59" s="35"/>
      <c r="AW59" s="35"/>
      <c r="AX59" s="35"/>
      <c r="AY59" s="35"/>
      <c r="AZ59" s="35"/>
      <c r="BA59" s="35">
        <v>0</v>
      </c>
      <c r="BB59" s="35">
        <v>0</v>
      </c>
      <c r="BC59" s="35">
        <v>0</v>
      </c>
      <c r="BD59" s="35">
        <v>150.048</v>
      </c>
      <c r="BE59" s="35">
        <v>0</v>
      </c>
    </row>
    <row r="60" spans="1:57" hidden="1" outlineLevel="1" x14ac:dyDescent="0.2">
      <c r="A60" s="34" t="s">
        <v>124</v>
      </c>
      <c r="B60" s="35">
        <v>53282.366999999991</v>
      </c>
      <c r="C60" s="35">
        <v>0</v>
      </c>
      <c r="D60" s="35">
        <v>0</v>
      </c>
      <c r="E60" s="35">
        <v>53282.366999999991</v>
      </c>
      <c r="F60" s="35">
        <v>0</v>
      </c>
      <c r="G60" s="35">
        <v>0</v>
      </c>
      <c r="H60" s="35">
        <v>0</v>
      </c>
      <c r="I60" s="35">
        <v>0</v>
      </c>
      <c r="J60" s="35">
        <v>0</v>
      </c>
      <c r="K60" s="35">
        <v>0</v>
      </c>
      <c r="L60" s="35">
        <v>0</v>
      </c>
      <c r="M60" s="37">
        <v>2899.94</v>
      </c>
      <c r="N60" s="35">
        <v>0</v>
      </c>
      <c r="O60" s="35">
        <v>0</v>
      </c>
      <c r="P60" s="35">
        <v>0</v>
      </c>
      <c r="Q60" s="35">
        <v>0</v>
      </c>
      <c r="R60" s="35">
        <v>0</v>
      </c>
      <c r="S60" s="35">
        <v>0</v>
      </c>
      <c r="T60" s="35">
        <v>0</v>
      </c>
      <c r="U60" s="35">
        <v>0</v>
      </c>
      <c r="V60" s="37">
        <v>0</v>
      </c>
      <c r="W60" s="35">
        <v>0</v>
      </c>
      <c r="X60" s="35">
        <v>0</v>
      </c>
      <c r="Y60" s="35">
        <v>0</v>
      </c>
      <c r="Z60" s="35">
        <v>0</v>
      </c>
      <c r="AA60" s="35">
        <v>0</v>
      </c>
      <c r="AB60" s="35">
        <v>0</v>
      </c>
      <c r="AC60" s="35">
        <v>0</v>
      </c>
      <c r="AD60" s="35">
        <v>0</v>
      </c>
      <c r="AE60" s="35">
        <v>6.1570199999999999E-2</v>
      </c>
      <c r="AF60" s="35">
        <v>464.74479179999997</v>
      </c>
      <c r="AG60" s="35">
        <v>0</v>
      </c>
      <c r="AH60" s="35">
        <v>0</v>
      </c>
      <c r="AI60" s="35">
        <v>0</v>
      </c>
      <c r="AJ60" s="35">
        <v>496.51617199999998</v>
      </c>
      <c r="AK60" s="35">
        <v>28149.155919000001</v>
      </c>
      <c r="AL60" s="35">
        <v>77.266924799999984</v>
      </c>
      <c r="AM60" s="35">
        <v>0</v>
      </c>
      <c r="AN60" s="35">
        <v>27.250896600000001</v>
      </c>
      <c r="AO60" s="35">
        <v>3172.5133685999999</v>
      </c>
      <c r="AP60" s="35">
        <v>0</v>
      </c>
      <c r="AQ60" s="35">
        <v>0</v>
      </c>
      <c r="AR60" s="35">
        <v>0</v>
      </c>
      <c r="AS60" s="35">
        <v>0</v>
      </c>
      <c r="AT60" s="35">
        <v>0</v>
      </c>
      <c r="AU60" s="35"/>
      <c r="AV60" s="35"/>
      <c r="AW60" s="35"/>
      <c r="AX60" s="35"/>
      <c r="AY60" s="35"/>
      <c r="AZ60" s="35"/>
      <c r="BA60" s="35">
        <v>0</v>
      </c>
      <c r="BB60" s="35">
        <v>0</v>
      </c>
      <c r="BC60" s="35">
        <v>0</v>
      </c>
      <c r="BD60" s="35">
        <v>113412.492</v>
      </c>
      <c r="BE60" s="35">
        <v>0</v>
      </c>
    </row>
    <row r="61" spans="1:57" hidden="1" outlineLevel="1" x14ac:dyDescent="0.2">
      <c r="A61" s="34" t="s">
        <v>125</v>
      </c>
      <c r="B61" s="35">
        <v>0</v>
      </c>
      <c r="C61" s="35">
        <v>0</v>
      </c>
      <c r="D61" s="35">
        <v>0</v>
      </c>
      <c r="E61" s="35">
        <v>0</v>
      </c>
      <c r="F61" s="35">
        <v>0</v>
      </c>
      <c r="G61" s="35">
        <v>0</v>
      </c>
      <c r="H61" s="35">
        <v>0</v>
      </c>
      <c r="I61" s="35">
        <v>0</v>
      </c>
      <c r="J61" s="35">
        <v>0</v>
      </c>
      <c r="K61" s="35">
        <v>0</v>
      </c>
      <c r="L61" s="35">
        <v>0</v>
      </c>
      <c r="M61" s="37">
        <v>1396.7</v>
      </c>
      <c r="N61" s="35">
        <v>0</v>
      </c>
      <c r="O61" s="35">
        <v>0</v>
      </c>
      <c r="P61" s="35">
        <v>0</v>
      </c>
      <c r="Q61" s="35">
        <v>0</v>
      </c>
      <c r="R61" s="35">
        <v>0</v>
      </c>
      <c r="S61" s="35">
        <v>0</v>
      </c>
      <c r="T61" s="35">
        <v>0</v>
      </c>
      <c r="U61" s="35">
        <v>0</v>
      </c>
      <c r="V61" s="37">
        <v>0</v>
      </c>
      <c r="W61" s="35">
        <v>0</v>
      </c>
      <c r="X61" s="35">
        <v>0</v>
      </c>
      <c r="Y61" s="35">
        <v>0</v>
      </c>
      <c r="Z61" s="35">
        <v>0</v>
      </c>
      <c r="AA61" s="35">
        <v>0</v>
      </c>
      <c r="AB61" s="35">
        <v>0</v>
      </c>
      <c r="AC61" s="35">
        <v>0</v>
      </c>
      <c r="AD61" s="35">
        <v>0</v>
      </c>
      <c r="AE61" s="35">
        <v>0</v>
      </c>
      <c r="AF61" s="35">
        <v>0</v>
      </c>
      <c r="AG61" s="35">
        <v>0</v>
      </c>
      <c r="AH61" s="35">
        <v>0</v>
      </c>
      <c r="AI61" s="35">
        <v>0</v>
      </c>
      <c r="AJ61" s="35">
        <v>0</v>
      </c>
      <c r="AK61" s="35">
        <v>0</v>
      </c>
      <c r="AL61" s="35">
        <v>0</v>
      </c>
      <c r="AM61" s="35">
        <v>0</v>
      </c>
      <c r="AN61" s="35">
        <v>0</v>
      </c>
      <c r="AO61" s="35">
        <v>0</v>
      </c>
      <c r="AP61" s="35">
        <v>0</v>
      </c>
      <c r="AQ61" s="35">
        <v>0</v>
      </c>
      <c r="AR61" s="35">
        <v>0</v>
      </c>
      <c r="AS61" s="35">
        <v>0</v>
      </c>
      <c r="AT61" s="35">
        <v>0</v>
      </c>
      <c r="AU61" s="35"/>
      <c r="AV61" s="35"/>
      <c r="AW61" s="35"/>
      <c r="AX61" s="35"/>
      <c r="AY61" s="35"/>
      <c r="AZ61" s="35"/>
      <c r="BA61" s="35">
        <v>0</v>
      </c>
      <c r="BB61" s="35">
        <v>0</v>
      </c>
      <c r="BC61" s="35">
        <v>0</v>
      </c>
      <c r="BD61" s="35">
        <v>2738.4119999999998</v>
      </c>
      <c r="BE61" s="35">
        <v>0</v>
      </c>
    </row>
    <row r="62" spans="1:57" hidden="1" outlineLevel="1" x14ac:dyDescent="0.2">
      <c r="A62" s="34" t="s">
        <v>126</v>
      </c>
      <c r="B62" s="35">
        <v>0</v>
      </c>
      <c r="C62" s="35">
        <v>0</v>
      </c>
      <c r="D62" s="35">
        <v>0</v>
      </c>
      <c r="E62" s="35">
        <v>0</v>
      </c>
      <c r="F62" s="35">
        <v>0</v>
      </c>
      <c r="G62" s="35">
        <v>0</v>
      </c>
      <c r="H62" s="35">
        <v>0</v>
      </c>
      <c r="I62" s="35">
        <v>0</v>
      </c>
      <c r="J62" s="35">
        <v>0</v>
      </c>
      <c r="K62" s="35">
        <v>0</v>
      </c>
      <c r="L62" s="35">
        <v>0</v>
      </c>
      <c r="M62" s="37">
        <v>3120.7</v>
      </c>
      <c r="N62" s="35">
        <v>0</v>
      </c>
      <c r="O62" s="35">
        <v>0</v>
      </c>
      <c r="P62" s="35">
        <v>0</v>
      </c>
      <c r="Q62" s="35">
        <v>0</v>
      </c>
      <c r="R62" s="35">
        <v>0</v>
      </c>
      <c r="S62" s="35">
        <v>0</v>
      </c>
      <c r="T62" s="35">
        <v>0</v>
      </c>
      <c r="U62" s="35">
        <v>0</v>
      </c>
      <c r="V62" s="37">
        <v>0</v>
      </c>
      <c r="W62" s="35">
        <v>0</v>
      </c>
      <c r="X62" s="35">
        <v>0</v>
      </c>
      <c r="Y62" s="35">
        <v>0</v>
      </c>
      <c r="Z62" s="35">
        <v>0</v>
      </c>
      <c r="AA62" s="35">
        <v>0</v>
      </c>
      <c r="AB62" s="35">
        <v>0</v>
      </c>
      <c r="AC62" s="35">
        <v>0</v>
      </c>
      <c r="AD62" s="35">
        <v>0</v>
      </c>
      <c r="AE62" s="35">
        <v>0</v>
      </c>
      <c r="AF62" s="35">
        <v>0</v>
      </c>
      <c r="AG62" s="35">
        <v>0</v>
      </c>
      <c r="AH62" s="35">
        <v>0</v>
      </c>
      <c r="AI62" s="35">
        <v>0</v>
      </c>
      <c r="AJ62" s="35">
        <v>0</v>
      </c>
      <c r="AK62" s="35">
        <v>0</v>
      </c>
      <c r="AL62" s="35">
        <v>0</v>
      </c>
      <c r="AM62" s="35">
        <v>0</v>
      </c>
      <c r="AN62" s="35">
        <v>0</v>
      </c>
      <c r="AO62" s="35">
        <v>0</v>
      </c>
      <c r="AP62" s="35">
        <v>0</v>
      </c>
      <c r="AQ62" s="35">
        <v>0</v>
      </c>
      <c r="AR62" s="35">
        <v>0</v>
      </c>
      <c r="AS62" s="35">
        <v>0</v>
      </c>
      <c r="AT62" s="35">
        <v>0</v>
      </c>
      <c r="AU62" s="35"/>
      <c r="AV62" s="35"/>
      <c r="AW62" s="35"/>
      <c r="AX62" s="35"/>
      <c r="AY62" s="35"/>
      <c r="AZ62" s="35"/>
      <c r="BA62" s="35">
        <v>0</v>
      </c>
      <c r="BB62" s="35">
        <v>0</v>
      </c>
      <c r="BC62" s="35">
        <v>0</v>
      </c>
      <c r="BD62" s="35">
        <v>6320.5559999999987</v>
      </c>
      <c r="BE62" s="35">
        <v>0</v>
      </c>
    </row>
    <row r="63" spans="1:57" hidden="1" outlineLevel="1" x14ac:dyDescent="0.2">
      <c r="A63" s="34" t="s">
        <v>127</v>
      </c>
      <c r="B63" s="35">
        <v>0</v>
      </c>
      <c r="C63" s="35">
        <v>0</v>
      </c>
      <c r="D63" s="35">
        <v>0</v>
      </c>
      <c r="E63" s="35">
        <v>0</v>
      </c>
      <c r="F63" s="35">
        <v>0</v>
      </c>
      <c r="G63" s="35">
        <v>0</v>
      </c>
      <c r="H63" s="35">
        <v>0</v>
      </c>
      <c r="I63" s="35">
        <v>0</v>
      </c>
      <c r="J63" s="35">
        <v>0</v>
      </c>
      <c r="K63" s="35">
        <v>0</v>
      </c>
      <c r="L63" s="35">
        <v>0</v>
      </c>
      <c r="M63" s="37">
        <v>0</v>
      </c>
      <c r="N63" s="35">
        <v>0</v>
      </c>
      <c r="O63" s="35">
        <v>0</v>
      </c>
      <c r="P63" s="35">
        <v>0</v>
      </c>
      <c r="Q63" s="35">
        <v>0</v>
      </c>
      <c r="R63" s="35">
        <v>0</v>
      </c>
      <c r="S63" s="35">
        <v>0</v>
      </c>
      <c r="T63" s="35">
        <v>0</v>
      </c>
      <c r="U63" s="35">
        <v>0</v>
      </c>
      <c r="V63" s="37">
        <v>0</v>
      </c>
      <c r="W63" s="35">
        <v>0</v>
      </c>
      <c r="X63" s="35">
        <v>0</v>
      </c>
      <c r="Y63" s="35">
        <v>0</v>
      </c>
      <c r="Z63" s="35">
        <v>0</v>
      </c>
      <c r="AA63" s="35">
        <v>0</v>
      </c>
      <c r="AB63" s="35">
        <v>0</v>
      </c>
      <c r="AC63" s="35">
        <v>0</v>
      </c>
      <c r="AD63" s="35">
        <v>0</v>
      </c>
      <c r="AE63" s="35">
        <v>0</v>
      </c>
      <c r="AF63" s="35">
        <v>0</v>
      </c>
      <c r="AG63" s="35">
        <v>0</v>
      </c>
      <c r="AH63" s="35">
        <v>0</v>
      </c>
      <c r="AI63" s="35">
        <v>0</v>
      </c>
      <c r="AJ63" s="35">
        <v>0</v>
      </c>
      <c r="AK63" s="35">
        <v>0</v>
      </c>
      <c r="AL63" s="35">
        <v>0</v>
      </c>
      <c r="AM63" s="35">
        <v>0</v>
      </c>
      <c r="AN63" s="35">
        <v>0</v>
      </c>
      <c r="AO63" s="35">
        <v>0</v>
      </c>
      <c r="AP63" s="35">
        <v>0</v>
      </c>
      <c r="AQ63" s="35">
        <v>0</v>
      </c>
      <c r="AR63" s="35">
        <v>0</v>
      </c>
      <c r="AS63" s="35">
        <v>0</v>
      </c>
      <c r="AT63" s="35">
        <v>0</v>
      </c>
      <c r="AU63" s="35"/>
      <c r="AV63" s="35"/>
      <c r="AW63" s="35"/>
      <c r="AX63" s="35"/>
      <c r="AY63" s="35"/>
      <c r="AZ63" s="35"/>
      <c r="BA63" s="35">
        <v>0</v>
      </c>
      <c r="BB63" s="35">
        <v>0</v>
      </c>
      <c r="BC63" s="35">
        <v>0</v>
      </c>
      <c r="BD63" s="35">
        <v>1068.8040000000001</v>
      </c>
      <c r="BE63" s="35">
        <v>0</v>
      </c>
    </row>
    <row r="64" spans="1:57" hidden="1" outlineLevel="1" x14ac:dyDescent="0.2">
      <c r="A64" s="34" t="s">
        <v>128</v>
      </c>
      <c r="B64" s="35">
        <v>0</v>
      </c>
      <c r="C64" s="35">
        <v>0</v>
      </c>
      <c r="D64" s="35">
        <v>0</v>
      </c>
      <c r="E64" s="35">
        <v>0</v>
      </c>
      <c r="F64" s="35">
        <v>0</v>
      </c>
      <c r="G64" s="35">
        <v>0</v>
      </c>
      <c r="H64" s="35">
        <v>0</v>
      </c>
      <c r="I64" s="35">
        <v>0</v>
      </c>
      <c r="J64" s="35">
        <v>0</v>
      </c>
      <c r="K64" s="35">
        <v>0</v>
      </c>
      <c r="L64" s="35">
        <v>0</v>
      </c>
      <c r="M64" s="37">
        <v>0</v>
      </c>
      <c r="N64" s="35">
        <v>0</v>
      </c>
      <c r="O64" s="35">
        <v>0</v>
      </c>
      <c r="P64" s="35">
        <v>0</v>
      </c>
      <c r="Q64" s="35">
        <v>0</v>
      </c>
      <c r="R64" s="35">
        <v>0</v>
      </c>
      <c r="S64" s="35">
        <v>0</v>
      </c>
      <c r="T64" s="35">
        <v>0</v>
      </c>
      <c r="U64" s="35">
        <v>0</v>
      </c>
      <c r="V64" s="37">
        <v>0</v>
      </c>
      <c r="W64" s="35">
        <v>0</v>
      </c>
      <c r="X64" s="35">
        <v>0</v>
      </c>
      <c r="Y64" s="35">
        <v>0</v>
      </c>
      <c r="Z64" s="35">
        <v>0</v>
      </c>
      <c r="AA64" s="35">
        <v>0</v>
      </c>
      <c r="AB64" s="35">
        <v>0</v>
      </c>
      <c r="AC64" s="35">
        <v>0</v>
      </c>
      <c r="AD64" s="35">
        <v>0</v>
      </c>
      <c r="AE64" s="35">
        <v>3.8018396999999999</v>
      </c>
      <c r="AF64" s="35">
        <v>64.448361000000006</v>
      </c>
      <c r="AG64" s="35">
        <v>0</v>
      </c>
      <c r="AH64" s="35">
        <v>0</v>
      </c>
      <c r="AI64" s="35">
        <v>0</v>
      </c>
      <c r="AJ64" s="35">
        <v>102.31021699999999</v>
      </c>
      <c r="AK64" s="35">
        <v>7865.8203617999998</v>
      </c>
      <c r="AL64" s="35">
        <v>89.74954559999999</v>
      </c>
      <c r="AM64" s="35">
        <v>0</v>
      </c>
      <c r="AN64" s="35">
        <v>0.42201959999999999</v>
      </c>
      <c r="AO64" s="35">
        <v>289.2959232</v>
      </c>
      <c r="AP64" s="35">
        <v>7051.7770679999994</v>
      </c>
      <c r="AQ64" s="35">
        <v>2.6431499999999999</v>
      </c>
      <c r="AR64" s="35">
        <v>0</v>
      </c>
      <c r="AS64" s="35">
        <v>0</v>
      </c>
      <c r="AT64" s="35">
        <v>0</v>
      </c>
      <c r="AU64" s="35"/>
      <c r="AV64" s="35"/>
      <c r="AW64" s="35"/>
      <c r="AX64" s="35"/>
      <c r="AY64" s="35"/>
      <c r="AZ64" s="35"/>
      <c r="BA64" s="35">
        <v>0</v>
      </c>
      <c r="BB64" s="35">
        <v>0</v>
      </c>
      <c r="BC64" s="35">
        <v>0</v>
      </c>
      <c r="BD64" s="35">
        <v>194.328</v>
      </c>
      <c r="BE64" s="35">
        <v>0</v>
      </c>
    </row>
    <row r="65" spans="1:67" hidden="1" outlineLevel="1" x14ac:dyDescent="0.2">
      <c r="A65" s="34" t="s">
        <v>129</v>
      </c>
      <c r="B65" s="35">
        <v>0</v>
      </c>
      <c r="C65" s="35">
        <v>0</v>
      </c>
      <c r="D65" s="35">
        <v>0</v>
      </c>
      <c r="E65" s="35">
        <v>0</v>
      </c>
      <c r="F65" s="35">
        <v>0</v>
      </c>
      <c r="G65" s="35">
        <v>0</v>
      </c>
      <c r="H65" s="35">
        <v>0</v>
      </c>
      <c r="I65" s="35">
        <v>0</v>
      </c>
      <c r="J65" s="35">
        <v>0</v>
      </c>
      <c r="K65" s="35">
        <v>0</v>
      </c>
      <c r="L65" s="35">
        <v>0</v>
      </c>
      <c r="M65" s="37">
        <v>0</v>
      </c>
      <c r="N65" s="35">
        <v>0</v>
      </c>
      <c r="O65" s="35">
        <v>0</v>
      </c>
      <c r="P65" s="35">
        <v>0</v>
      </c>
      <c r="Q65" s="35">
        <v>0</v>
      </c>
      <c r="R65" s="35">
        <v>0</v>
      </c>
      <c r="S65" s="35">
        <v>0</v>
      </c>
      <c r="T65" s="35">
        <v>0</v>
      </c>
      <c r="U65" s="35">
        <v>0</v>
      </c>
      <c r="V65" s="37">
        <v>0</v>
      </c>
      <c r="W65" s="35">
        <v>0</v>
      </c>
      <c r="X65" s="35">
        <v>0</v>
      </c>
      <c r="Y65" s="35">
        <v>0</v>
      </c>
      <c r="Z65" s="35">
        <v>0</v>
      </c>
      <c r="AA65" s="35">
        <v>0</v>
      </c>
      <c r="AB65" s="35">
        <v>0</v>
      </c>
      <c r="AC65" s="35">
        <v>0</v>
      </c>
      <c r="AD65" s="35">
        <v>0</v>
      </c>
      <c r="AE65" s="35">
        <v>0</v>
      </c>
      <c r="AF65" s="35">
        <v>0</v>
      </c>
      <c r="AG65" s="35">
        <v>0</v>
      </c>
      <c r="AH65" s="35">
        <v>0</v>
      </c>
      <c r="AI65" s="35">
        <v>0</v>
      </c>
      <c r="AJ65" s="35">
        <v>0</v>
      </c>
      <c r="AK65" s="35">
        <v>0</v>
      </c>
      <c r="AL65" s="35">
        <v>0</v>
      </c>
      <c r="AM65" s="35">
        <v>0</v>
      </c>
      <c r="AN65" s="35">
        <v>0</v>
      </c>
      <c r="AO65" s="35">
        <v>0</v>
      </c>
      <c r="AP65" s="35">
        <v>0</v>
      </c>
      <c r="AQ65" s="35">
        <v>0</v>
      </c>
      <c r="AR65" s="35">
        <v>0</v>
      </c>
      <c r="AS65" s="35">
        <v>0</v>
      </c>
      <c r="AT65" s="35">
        <v>0</v>
      </c>
      <c r="AU65" s="35"/>
      <c r="AV65" s="35"/>
      <c r="AW65" s="35"/>
      <c r="AX65" s="35"/>
      <c r="AY65" s="35"/>
      <c r="AZ65" s="35"/>
      <c r="BA65" s="35">
        <v>0</v>
      </c>
      <c r="BB65" s="35">
        <v>0</v>
      </c>
      <c r="BC65" s="35">
        <v>0</v>
      </c>
      <c r="BD65" s="35">
        <v>1868.22</v>
      </c>
      <c r="BE65" s="35">
        <v>0</v>
      </c>
    </row>
    <row r="66" spans="1:67" hidden="1" outlineLevel="1" x14ac:dyDescent="0.2">
      <c r="A66" s="34" t="s">
        <v>130</v>
      </c>
      <c r="B66" s="35">
        <v>172236.29</v>
      </c>
      <c r="C66" s="35">
        <v>0</v>
      </c>
      <c r="D66" s="35">
        <v>727.322</v>
      </c>
      <c r="E66" s="35">
        <v>171508.96799999999</v>
      </c>
      <c r="F66" s="35">
        <v>0</v>
      </c>
      <c r="G66" s="35">
        <v>0</v>
      </c>
      <c r="H66" s="35">
        <v>0</v>
      </c>
      <c r="I66" s="35">
        <v>0</v>
      </c>
      <c r="J66" s="35">
        <v>0</v>
      </c>
      <c r="K66" s="35">
        <v>0</v>
      </c>
      <c r="L66" s="35">
        <v>0</v>
      </c>
      <c r="M66" s="37">
        <v>6107.8999999999987</v>
      </c>
      <c r="N66" s="35">
        <v>0</v>
      </c>
      <c r="O66" s="35">
        <v>0</v>
      </c>
      <c r="P66" s="35">
        <v>0</v>
      </c>
      <c r="Q66" s="35">
        <v>0</v>
      </c>
      <c r="R66" s="35">
        <v>0</v>
      </c>
      <c r="S66" s="35">
        <v>0</v>
      </c>
      <c r="T66" s="35">
        <v>0</v>
      </c>
      <c r="U66" s="35">
        <v>0</v>
      </c>
      <c r="V66" s="37">
        <v>0</v>
      </c>
      <c r="W66" s="35">
        <v>0</v>
      </c>
      <c r="X66" s="35">
        <v>0</v>
      </c>
      <c r="Y66" s="35">
        <v>0</v>
      </c>
      <c r="Z66" s="35">
        <v>0</v>
      </c>
      <c r="AA66" s="35">
        <v>0</v>
      </c>
      <c r="AB66" s="35">
        <v>0</v>
      </c>
      <c r="AC66" s="35">
        <v>0</v>
      </c>
      <c r="AD66" s="35">
        <v>0</v>
      </c>
      <c r="AE66" s="35">
        <v>0</v>
      </c>
      <c r="AF66" s="35">
        <v>0</v>
      </c>
      <c r="AG66" s="35">
        <v>0</v>
      </c>
      <c r="AH66" s="35">
        <v>0</v>
      </c>
      <c r="AI66" s="35">
        <v>0</v>
      </c>
      <c r="AJ66" s="35">
        <v>0</v>
      </c>
      <c r="AK66" s="35">
        <v>0</v>
      </c>
      <c r="AL66" s="35">
        <v>0</v>
      </c>
      <c r="AM66" s="35">
        <v>0</v>
      </c>
      <c r="AN66" s="35">
        <v>0</v>
      </c>
      <c r="AO66" s="35">
        <v>0</v>
      </c>
      <c r="AP66" s="35">
        <v>0</v>
      </c>
      <c r="AQ66" s="35">
        <v>0</v>
      </c>
      <c r="AR66" s="35">
        <v>0</v>
      </c>
      <c r="AS66" s="35">
        <v>0</v>
      </c>
      <c r="AT66" s="35">
        <v>0</v>
      </c>
      <c r="AU66" s="35"/>
      <c r="AV66" s="35"/>
      <c r="AW66" s="35"/>
      <c r="AX66" s="35"/>
      <c r="AY66" s="35"/>
      <c r="AZ66" s="35"/>
      <c r="BA66" s="35">
        <v>0</v>
      </c>
      <c r="BB66" s="35">
        <v>0</v>
      </c>
      <c r="BC66" s="35">
        <v>0</v>
      </c>
      <c r="BD66" s="35">
        <v>104177.9304</v>
      </c>
      <c r="BE66" s="35">
        <v>0</v>
      </c>
    </row>
    <row r="67" spans="1:67" collapsed="1" x14ac:dyDescent="0.2">
      <c r="A67" s="34"/>
      <c r="B67" s="41"/>
      <c r="C67" s="35"/>
      <c r="D67" s="35"/>
      <c r="E67" s="35"/>
      <c r="F67" s="35"/>
      <c r="G67" s="35"/>
      <c r="H67" s="35"/>
      <c r="I67" s="35"/>
      <c r="J67" s="35"/>
      <c r="K67" s="35"/>
      <c r="L67" s="35"/>
      <c r="M67" s="37"/>
      <c r="N67" s="35"/>
      <c r="O67" s="35"/>
      <c r="P67" s="35"/>
      <c r="Q67" s="35"/>
      <c r="R67" s="35"/>
      <c r="S67" s="35"/>
      <c r="T67" s="35"/>
      <c r="U67" s="35"/>
      <c r="V67" s="37"/>
      <c r="W67" s="35"/>
      <c r="X67" s="35"/>
      <c r="Y67" s="35"/>
      <c r="Z67" s="35"/>
      <c r="AA67" s="35"/>
      <c r="AB67" s="35"/>
      <c r="AC67" s="35"/>
      <c r="AD67" s="35"/>
      <c r="AE67" s="35"/>
      <c r="AF67" s="35"/>
      <c r="AG67" s="35"/>
      <c r="AH67" s="35"/>
      <c r="AI67" s="35"/>
      <c r="AJ67" s="35"/>
      <c r="AK67" s="35"/>
      <c r="AL67" s="35"/>
      <c r="AM67" s="35"/>
      <c r="AN67" s="35"/>
      <c r="AO67" s="35"/>
      <c r="AP67" s="35"/>
      <c r="AQ67" s="35"/>
      <c r="AR67" s="35"/>
      <c r="AS67" s="35"/>
      <c r="AT67" s="35"/>
      <c r="AU67" s="35"/>
      <c r="AV67" s="35"/>
      <c r="AW67" s="35"/>
      <c r="AX67" s="35"/>
      <c r="AY67" s="35"/>
      <c r="AZ67" s="35"/>
      <c r="BA67" s="35"/>
      <c r="BB67" s="35"/>
      <c r="BC67" s="35"/>
      <c r="BD67" s="35"/>
      <c r="BE67" s="35"/>
    </row>
    <row r="68" spans="1:67" ht="13.5" x14ac:dyDescent="0.25">
      <c r="A68" s="38" t="s">
        <v>131</v>
      </c>
      <c r="B68" s="35">
        <v>0</v>
      </c>
      <c r="C68" s="35">
        <v>0</v>
      </c>
      <c r="D68" s="35">
        <v>0</v>
      </c>
      <c r="E68" s="35">
        <v>0</v>
      </c>
      <c r="F68" s="35">
        <v>0</v>
      </c>
      <c r="G68" s="35">
        <v>0</v>
      </c>
      <c r="H68" s="35">
        <v>0</v>
      </c>
      <c r="I68" s="35">
        <v>0</v>
      </c>
      <c r="J68" s="35">
        <v>0</v>
      </c>
      <c r="K68" s="35">
        <v>0</v>
      </c>
      <c r="L68" s="35">
        <v>0</v>
      </c>
      <c r="M68" s="37">
        <v>0</v>
      </c>
      <c r="N68" s="35">
        <v>0</v>
      </c>
      <c r="O68" s="35">
        <v>0</v>
      </c>
      <c r="P68" s="35">
        <v>0</v>
      </c>
      <c r="Q68" s="35">
        <v>0</v>
      </c>
      <c r="R68" s="35">
        <v>0</v>
      </c>
      <c r="S68" s="35">
        <v>0</v>
      </c>
      <c r="T68" s="35">
        <v>0</v>
      </c>
      <c r="U68" s="35">
        <v>0</v>
      </c>
      <c r="V68" s="37">
        <v>0</v>
      </c>
      <c r="W68" s="35">
        <v>0</v>
      </c>
      <c r="X68" s="35">
        <v>0</v>
      </c>
      <c r="Y68" s="35">
        <v>0</v>
      </c>
      <c r="Z68" s="35">
        <v>0</v>
      </c>
      <c r="AA68" s="35">
        <v>0</v>
      </c>
      <c r="AB68" s="35">
        <v>0</v>
      </c>
      <c r="AC68" s="35">
        <v>0</v>
      </c>
      <c r="AD68" s="35">
        <v>0</v>
      </c>
      <c r="AE68" s="35">
        <v>0</v>
      </c>
      <c r="AF68" s="44">
        <f t="shared" ref="AF68:AL68" si="0">SUM(AF69:AF89)</f>
        <v>381580</v>
      </c>
      <c r="AG68" s="44">
        <f t="shared" si="0"/>
        <v>822</v>
      </c>
      <c r="AH68" s="44">
        <f t="shared" si="0"/>
        <v>0</v>
      </c>
      <c r="AI68" s="45">
        <f t="shared" si="0"/>
        <v>89422</v>
      </c>
      <c r="AJ68" s="44"/>
      <c r="AK68" s="44">
        <f t="shared" si="0"/>
        <v>402193.01708176202</v>
      </c>
      <c r="AL68" s="44">
        <f t="shared" si="0"/>
        <v>2770</v>
      </c>
      <c r="AM68" s="44">
        <f t="shared" ref="AM68:BE68" si="1">SUM(AM69:AM89)</f>
        <v>0</v>
      </c>
      <c r="AN68" s="44">
        <f t="shared" si="1"/>
        <v>0</v>
      </c>
      <c r="AO68" s="44">
        <f t="shared" si="1"/>
        <v>0</v>
      </c>
      <c r="AP68" s="44">
        <f t="shared" si="1"/>
        <v>0</v>
      </c>
      <c r="AQ68" s="44">
        <f t="shared" si="1"/>
        <v>0</v>
      </c>
      <c r="AR68" s="44">
        <f t="shared" si="1"/>
        <v>0</v>
      </c>
      <c r="AS68" s="44">
        <f t="shared" si="1"/>
        <v>0</v>
      </c>
      <c r="AT68" s="44">
        <f t="shared" si="1"/>
        <v>0</v>
      </c>
      <c r="AU68" s="44">
        <f t="shared" si="1"/>
        <v>0</v>
      </c>
      <c r="AV68" s="44">
        <f t="shared" si="1"/>
        <v>0</v>
      </c>
      <c r="AW68" s="44">
        <f t="shared" si="1"/>
        <v>0</v>
      </c>
      <c r="AX68" s="44">
        <f t="shared" si="1"/>
        <v>0</v>
      </c>
      <c r="AY68" s="44">
        <f t="shared" si="1"/>
        <v>0</v>
      </c>
      <c r="AZ68" s="44">
        <f t="shared" si="1"/>
        <v>0</v>
      </c>
      <c r="BA68" s="44">
        <f t="shared" si="1"/>
        <v>0</v>
      </c>
      <c r="BB68" s="44">
        <f t="shared" si="1"/>
        <v>0</v>
      </c>
      <c r="BC68" s="44">
        <f t="shared" si="1"/>
        <v>0</v>
      </c>
      <c r="BD68" s="44">
        <f t="shared" si="1"/>
        <v>15137.528257525879</v>
      </c>
      <c r="BE68" s="44">
        <f t="shared" si="1"/>
        <v>0</v>
      </c>
    </row>
    <row r="69" spans="1:67" ht="13.5" x14ac:dyDescent="0.25">
      <c r="A69" s="34" t="s">
        <v>132</v>
      </c>
      <c r="B69" s="35">
        <v>0</v>
      </c>
      <c r="C69" s="35">
        <v>0</v>
      </c>
      <c r="D69" s="35">
        <v>0</v>
      </c>
      <c r="E69" s="35">
        <v>0</v>
      </c>
      <c r="F69" s="35">
        <v>0</v>
      </c>
      <c r="G69" s="35">
        <v>0</v>
      </c>
      <c r="H69" s="35">
        <v>0</v>
      </c>
      <c r="I69" s="35">
        <v>0</v>
      </c>
      <c r="J69" s="35">
        <v>0</v>
      </c>
      <c r="K69" s="35">
        <v>0</v>
      </c>
      <c r="L69" s="35">
        <v>0</v>
      </c>
      <c r="M69" s="37">
        <v>0</v>
      </c>
      <c r="N69" s="35">
        <v>0</v>
      </c>
      <c r="O69" s="35">
        <v>0</v>
      </c>
      <c r="P69" s="35">
        <v>0</v>
      </c>
      <c r="Q69" s="35">
        <v>0</v>
      </c>
      <c r="R69" s="35">
        <v>0</v>
      </c>
      <c r="S69" s="35">
        <v>0</v>
      </c>
      <c r="T69" s="35">
        <v>0</v>
      </c>
      <c r="U69" s="35">
        <v>0</v>
      </c>
      <c r="V69" s="37">
        <v>0</v>
      </c>
      <c r="W69" s="35">
        <v>0</v>
      </c>
      <c r="X69" s="35">
        <v>0</v>
      </c>
      <c r="Y69" s="35">
        <v>0</v>
      </c>
      <c r="Z69" s="35">
        <v>0</v>
      </c>
      <c r="AA69" s="35">
        <v>0</v>
      </c>
      <c r="AB69" s="35">
        <v>0</v>
      </c>
      <c r="AC69" s="35">
        <v>0</v>
      </c>
      <c r="AD69" s="35">
        <v>0</v>
      </c>
      <c r="AE69" s="35">
        <v>0</v>
      </c>
      <c r="AF69" s="35">
        <v>0</v>
      </c>
      <c r="AG69" s="44">
        <v>0</v>
      </c>
      <c r="AH69" s="35">
        <v>0</v>
      </c>
      <c r="AI69" s="35">
        <v>68939</v>
      </c>
      <c r="AJ69" s="35"/>
      <c r="AK69" s="35">
        <v>0</v>
      </c>
      <c r="AL69" s="35">
        <v>0</v>
      </c>
      <c r="AM69" s="35">
        <v>0</v>
      </c>
      <c r="AN69" s="35">
        <v>0</v>
      </c>
      <c r="AO69" s="35">
        <v>0</v>
      </c>
      <c r="AP69" s="35">
        <v>0</v>
      </c>
      <c r="AQ69" s="35">
        <v>0</v>
      </c>
      <c r="AR69" s="35">
        <v>0</v>
      </c>
      <c r="AS69" s="35">
        <v>0</v>
      </c>
      <c r="AT69" s="35">
        <v>0</v>
      </c>
      <c r="AU69" s="35"/>
      <c r="AV69" s="35"/>
      <c r="AW69" s="35"/>
      <c r="AX69" s="35"/>
      <c r="AY69" s="35"/>
      <c r="AZ69" s="35"/>
      <c r="BA69" s="35">
        <v>0</v>
      </c>
      <c r="BB69" s="35">
        <v>0</v>
      </c>
      <c r="BC69" s="35">
        <v>0</v>
      </c>
      <c r="BD69" s="35">
        <v>0</v>
      </c>
      <c r="BE69" s="35">
        <v>0</v>
      </c>
    </row>
    <row r="70" spans="1:67" ht="15" x14ac:dyDescent="0.25">
      <c r="A70" s="34" t="s">
        <v>133</v>
      </c>
      <c r="B70" s="35">
        <v>0</v>
      </c>
      <c r="C70" s="35">
        <v>0</v>
      </c>
      <c r="D70" s="35">
        <v>0</v>
      </c>
      <c r="E70" s="35">
        <v>0</v>
      </c>
      <c r="F70" s="35">
        <v>0</v>
      </c>
      <c r="G70" s="35">
        <v>0</v>
      </c>
      <c r="H70" s="35">
        <v>0</v>
      </c>
      <c r="I70" s="35">
        <v>0</v>
      </c>
      <c r="J70" s="35">
        <v>0</v>
      </c>
      <c r="K70" s="35">
        <v>0</v>
      </c>
      <c r="L70" s="35">
        <v>0</v>
      </c>
      <c r="M70" s="37">
        <v>0</v>
      </c>
      <c r="N70" s="35">
        <v>0</v>
      </c>
      <c r="O70" s="35">
        <v>0</v>
      </c>
      <c r="P70" s="35">
        <v>0</v>
      </c>
      <c r="Q70" s="35">
        <v>0</v>
      </c>
      <c r="R70" s="35">
        <v>0</v>
      </c>
      <c r="S70" s="35">
        <v>0</v>
      </c>
      <c r="T70" s="35">
        <v>0</v>
      </c>
      <c r="U70" s="35">
        <v>0</v>
      </c>
      <c r="V70" s="37">
        <v>0</v>
      </c>
      <c r="W70" s="35">
        <v>0</v>
      </c>
      <c r="X70" s="35">
        <v>0</v>
      </c>
      <c r="Y70" s="35">
        <v>0</v>
      </c>
      <c r="Z70" s="35">
        <v>0</v>
      </c>
      <c r="AA70" s="35">
        <v>0</v>
      </c>
      <c r="AB70" s="35">
        <v>0</v>
      </c>
      <c r="AC70" s="35">
        <v>0</v>
      </c>
      <c r="AD70" s="35">
        <v>0</v>
      </c>
      <c r="AE70" s="35">
        <v>0</v>
      </c>
      <c r="AF70" s="35">
        <v>0</v>
      </c>
      <c r="AG70" s="35">
        <v>822</v>
      </c>
      <c r="AH70" s="35">
        <v>0</v>
      </c>
      <c r="AI70" s="44">
        <v>20483</v>
      </c>
      <c r="AJ70" s="35"/>
      <c r="AK70" s="35">
        <v>0</v>
      </c>
      <c r="AL70" s="35">
        <v>0</v>
      </c>
      <c r="AM70" s="35">
        <v>0</v>
      </c>
      <c r="AN70" s="35">
        <v>0</v>
      </c>
      <c r="AO70" s="35">
        <v>0</v>
      </c>
      <c r="AP70" s="35">
        <v>0</v>
      </c>
      <c r="AQ70" s="35">
        <v>0</v>
      </c>
      <c r="AR70" s="35">
        <v>0</v>
      </c>
      <c r="AS70" s="35">
        <v>0</v>
      </c>
      <c r="AT70" s="35">
        <v>0</v>
      </c>
      <c r="AU70" s="35"/>
      <c r="AV70" s="35"/>
      <c r="AW70" s="35"/>
      <c r="AX70" s="35"/>
      <c r="AY70" s="35"/>
      <c r="AZ70" s="35"/>
      <c r="BA70" s="35">
        <v>0</v>
      </c>
      <c r="BB70" s="35">
        <v>0</v>
      </c>
      <c r="BC70" s="35">
        <v>0</v>
      </c>
      <c r="BD70" s="35"/>
      <c r="BE70" s="35">
        <v>0</v>
      </c>
      <c r="BL70" s="46"/>
      <c r="BM70" s="46"/>
      <c r="BN70" s="46"/>
      <c r="BO70" s="46"/>
    </row>
    <row r="71" spans="1:67" ht="15" x14ac:dyDescent="0.25">
      <c r="A71" s="34" t="s">
        <v>134</v>
      </c>
      <c r="B71" s="35">
        <v>0</v>
      </c>
      <c r="C71" s="35">
        <v>0</v>
      </c>
      <c r="D71" s="35">
        <v>0</v>
      </c>
      <c r="E71" s="35">
        <v>0</v>
      </c>
      <c r="F71" s="35">
        <v>0</v>
      </c>
      <c r="G71" s="35">
        <v>0</v>
      </c>
      <c r="H71" s="35">
        <v>0</v>
      </c>
      <c r="I71" s="35">
        <v>0</v>
      </c>
      <c r="J71" s="35">
        <v>0</v>
      </c>
      <c r="K71" s="35">
        <v>0</v>
      </c>
      <c r="L71" s="35">
        <v>0</v>
      </c>
      <c r="M71" s="37">
        <v>0</v>
      </c>
      <c r="N71" s="35">
        <v>0</v>
      </c>
      <c r="O71" s="35">
        <v>0</v>
      </c>
      <c r="P71" s="35">
        <v>0</v>
      </c>
      <c r="Q71" s="35">
        <v>0</v>
      </c>
      <c r="R71" s="35">
        <v>0</v>
      </c>
      <c r="S71" s="35">
        <v>0</v>
      </c>
      <c r="T71" s="35">
        <v>0</v>
      </c>
      <c r="U71" s="35">
        <v>0</v>
      </c>
      <c r="V71" s="37">
        <v>0</v>
      </c>
      <c r="W71" s="35">
        <v>0</v>
      </c>
      <c r="X71" s="35">
        <v>0</v>
      </c>
      <c r="Y71" s="35">
        <v>0</v>
      </c>
      <c r="Z71" s="35">
        <v>0</v>
      </c>
      <c r="AA71" s="35">
        <v>0</v>
      </c>
      <c r="AB71" s="35">
        <v>0</v>
      </c>
      <c r="AC71" s="35">
        <v>0</v>
      </c>
      <c r="AD71" s="35">
        <v>0</v>
      </c>
      <c r="AE71" s="35">
        <v>0</v>
      </c>
      <c r="AF71" s="44">
        <v>381580</v>
      </c>
      <c r="AG71" s="35">
        <v>0</v>
      </c>
      <c r="AH71" s="35">
        <v>0</v>
      </c>
      <c r="AI71" s="35">
        <v>0</v>
      </c>
      <c r="AJ71" s="44"/>
      <c r="AK71" s="44">
        <v>395720</v>
      </c>
      <c r="AL71" s="44"/>
      <c r="AM71" s="35">
        <v>0</v>
      </c>
      <c r="AN71" s="35">
        <v>0</v>
      </c>
      <c r="AO71" s="35">
        <v>0</v>
      </c>
      <c r="AP71" s="35">
        <v>0</v>
      </c>
      <c r="AQ71" s="35">
        <v>0</v>
      </c>
      <c r="AR71" s="35">
        <v>0</v>
      </c>
      <c r="AS71" s="35">
        <v>0</v>
      </c>
      <c r="AT71" s="35">
        <v>0</v>
      </c>
      <c r="AU71" s="35"/>
      <c r="AV71" s="35"/>
      <c r="AW71" s="35"/>
      <c r="AX71" s="35"/>
      <c r="AY71" s="35"/>
      <c r="AZ71" s="35"/>
      <c r="BA71" s="35">
        <v>0</v>
      </c>
      <c r="BB71" s="35">
        <v>0</v>
      </c>
      <c r="BC71" s="35">
        <v>0</v>
      </c>
      <c r="BD71" s="44">
        <v>104.40000152587891</v>
      </c>
      <c r="BE71" s="35">
        <v>0</v>
      </c>
      <c r="BL71" s="46"/>
      <c r="BM71" s="46"/>
      <c r="BN71" s="46"/>
      <c r="BO71" s="46"/>
    </row>
    <row r="72" spans="1:67" ht="15" x14ac:dyDescent="0.25">
      <c r="A72" s="47" t="s">
        <v>135</v>
      </c>
      <c r="B72" s="35"/>
      <c r="C72" s="35"/>
      <c r="D72" s="35"/>
      <c r="E72" s="35"/>
      <c r="F72" s="35"/>
      <c r="G72" s="35"/>
      <c r="H72" s="35"/>
      <c r="I72" s="35"/>
      <c r="J72" s="35"/>
      <c r="K72" s="35"/>
      <c r="L72" s="35"/>
      <c r="M72" s="37"/>
      <c r="N72" s="35"/>
      <c r="O72" s="35"/>
      <c r="P72" s="35"/>
      <c r="Q72" s="35"/>
      <c r="R72" s="35"/>
      <c r="S72" s="35"/>
      <c r="T72" s="35"/>
      <c r="U72" s="35"/>
      <c r="V72" s="37"/>
      <c r="W72" s="35"/>
      <c r="X72" s="35"/>
      <c r="Y72" s="35"/>
      <c r="Z72" s="35"/>
      <c r="AA72" s="35"/>
      <c r="AB72" s="35"/>
      <c r="AC72" s="35"/>
      <c r="AD72" s="35"/>
      <c r="AE72" s="35"/>
      <c r="AF72" s="48"/>
      <c r="AG72" s="35"/>
      <c r="AH72" s="35"/>
      <c r="AI72" s="35"/>
      <c r="AJ72" s="35"/>
      <c r="AK72" s="48"/>
      <c r="AL72" s="35"/>
      <c r="AM72" s="35"/>
      <c r="AN72" s="35"/>
      <c r="AO72" s="35"/>
      <c r="AP72" s="35"/>
      <c r="AQ72" s="35"/>
      <c r="AR72" s="35"/>
      <c r="AS72" s="35"/>
      <c r="AT72" s="35"/>
      <c r="AU72" s="35"/>
      <c r="AV72" s="35"/>
      <c r="AW72" s="35"/>
      <c r="AX72" s="35"/>
      <c r="AY72" s="35"/>
      <c r="AZ72" s="35"/>
      <c r="BA72" s="35"/>
      <c r="BB72" s="35"/>
      <c r="BC72" s="35"/>
      <c r="BD72" s="35"/>
      <c r="BE72" s="35"/>
      <c r="BG72" s="49"/>
      <c r="BI72" s="49"/>
      <c r="BL72" s="46"/>
      <c r="BM72" s="46"/>
      <c r="BN72" s="46"/>
      <c r="BO72" s="46"/>
    </row>
    <row r="73" spans="1:67" ht="15" x14ac:dyDescent="0.25">
      <c r="A73" s="50" t="s">
        <v>136</v>
      </c>
      <c r="B73" s="35"/>
      <c r="C73" s="35"/>
      <c r="D73" s="35"/>
      <c r="E73" s="35"/>
      <c r="F73" s="35"/>
      <c r="G73" s="35"/>
      <c r="H73" s="35"/>
      <c r="I73" s="35"/>
      <c r="J73" s="35"/>
      <c r="K73" s="35"/>
      <c r="L73" s="35"/>
      <c r="M73" s="37"/>
      <c r="N73" s="35"/>
      <c r="O73" s="35"/>
      <c r="P73" s="35"/>
      <c r="Q73" s="35"/>
      <c r="R73" s="35"/>
      <c r="S73" s="35"/>
      <c r="T73" s="35"/>
      <c r="U73" s="35"/>
      <c r="V73" s="37"/>
      <c r="W73" s="35"/>
      <c r="X73" s="35"/>
      <c r="Y73" s="35"/>
      <c r="Z73" s="35"/>
      <c r="AA73" s="35"/>
      <c r="AB73" s="35"/>
      <c r="AC73" s="35"/>
      <c r="AD73" s="35"/>
      <c r="AE73" s="35"/>
      <c r="AF73" s="48"/>
      <c r="AG73" s="35"/>
      <c r="AH73" s="35"/>
      <c r="AI73" s="35"/>
      <c r="AJ73" s="35"/>
      <c r="AK73" s="48"/>
      <c r="AL73" s="35"/>
      <c r="AM73" s="35"/>
      <c r="AN73" s="35"/>
      <c r="AO73" s="35"/>
      <c r="AP73" s="35"/>
      <c r="AQ73" s="35"/>
      <c r="AR73" s="35"/>
      <c r="AS73" s="35"/>
      <c r="AT73" s="35"/>
      <c r="AU73" s="35"/>
      <c r="AV73" s="35"/>
      <c r="AW73" s="35"/>
      <c r="AX73" s="35"/>
      <c r="AY73" s="35"/>
      <c r="AZ73" s="35"/>
      <c r="BA73" s="35"/>
      <c r="BB73" s="35"/>
      <c r="BC73" s="35"/>
      <c r="BD73" s="35"/>
      <c r="BE73" s="35"/>
      <c r="BG73" s="49"/>
      <c r="BI73" s="49"/>
      <c r="BL73" s="46"/>
      <c r="BM73" s="46"/>
      <c r="BN73" s="46"/>
      <c r="BO73" s="46"/>
    </row>
    <row r="74" spans="1:67" ht="15" x14ac:dyDescent="0.25">
      <c r="A74" s="50" t="s">
        <v>137</v>
      </c>
      <c r="B74" s="35"/>
      <c r="C74" s="35"/>
      <c r="D74" s="35"/>
      <c r="E74" s="35"/>
      <c r="F74" s="35"/>
      <c r="G74" s="35"/>
      <c r="H74" s="35"/>
      <c r="I74" s="35"/>
      <c r="J74" s="35"/>
      <c r="K74" s="35"/>
      <c r="L74" s="35"/>
      <c r="M74" s="37"/>
      <c r="N74" s="35"/>
      <c r="O74" s="35"/>
      <c r="P74" s="35"/>
      <c r="Q74" s="35"/>
      <c r="R74" s="35"/>
      <c r="S74" s="35"/>
      <c r="T74" s="35"/>
      <c r="U74" s="35"/>
      <c r="V74" s="37"/>
      <c r="W74" s="35"/>
      <c r="X74" s="35"/>
      <c r="Y74" s="35"/>
      <c r="Z74" s="35"/>
      <c r="AA74" s="35"/>
      <c r="AB74" s="35"/>
      <c r="AC74" s="35"/>
      <c r="AD74" s="35"/>
      <c r="AE74" s="35"/>
      <c r="AF74" s="48"/>
      <c r="AG74" s="35"/>
      <c r="AH74" s="35"/>
      <c r="AI74" s="35"/>
      <c r="AJ74" s="35"/>
      <c r="AK74" s="48"/>
      <c r="AL74" s="35"/>
      <c r="AM74" s="35"/>
      <c r="AN74" s="35"/>
      <c r="AO74" s="35"/>
      <c r="AP74" s="35"/>
      <c r="AQ74" s="35"/>
      <c r="AR74" s="35"/>
      <c r="AS74" s="35"/>
      <c r="AT74" s="35"/>
      <c r="AU74" s="35"/>
      <c r="AV74" s="35"/>
      <c r="AW74" s="35"/>
      <c r="AX74" s="35"/>
      <c r="AY74" s="35"/>
      <c r="AZ74" s="35"/>
      <c r="BA74" s="35"/>
      <c r="BB74" s="35"/>
      <c r="BC74" s="35"/>
      <c r="BD74" s="35"/>
      <c r="BE74" s="35"/>
      <c r="BG74" s="49"/>
      <c r="BI74" s="49"/>
      <c r="BL74" s="46"/>
      <c r="BM74" s="46"/>
      <c r="BN74" s="46"/>
      <c r="BO74" s="46"/>
    </row>
    <row r="75" spans="1:67" ht="15" x14ac:dyDescent="0.25">
      <c r="A75" s="50" t="s">
        <v>138</v>
      </c>
      <c r="B75" s="35"/>
      <c r="C75" s="35"/>
      <c r="D75" s="35"/>
      <c r="E75" s="35"/>
      <c r="F75" s="35"/>
      <c r="G75" s="35"/>
      <c r="H75" s="35"/>
      <c r="I75" s="35"/>
      <c r="J75" s="35"/>
      <c r="K75" s="35"/>
      <c r="L75" s="35"/>
      <c r="M75" s="37"/>
      <c r="N75" s="35"/>
      <c r="O75" s="35"/>
      <c r="P75" s="35"/>
      <c r="Q75" s="35"/>
      <c r="R75" s="35"/>
      <c r="S75" s="35"/>
      <c r="T75" s="35"/>
      <c r="U75" s="35"/>
      <c r="V75" s="37"/>
      <c r="W75" s="35"/>
      <c r="X75" s="35"/>
      <c r="Y75" s="35"/>
      <c r="Z75" s="35"/>
      <c r="AA75" s="35"/>
      <c r="AB75" s="35"/>
      <c r="AC75" s="35"/>
      <c r="AD75" s="35"/>
      <c r="AE75" s="35"/>
      <c r="AF75" s="48"/>
      <c r="AG75" s="35"/>
      <c r="AH75" s="35"/>
      <c r="AI75" s="35"/>
      <c r="AJ75" s="35"/>
      <c r="AK75" s="48"/>
      <c r="AL75" s="35"/>
      <c r="AM75" s="35"/>
      <c r="AN75" s="35"/>
      <c r="AO75" s="35"/>
      <c r="AP75" s="35"/>
      <c r="AQ75" s="35"/>
      <c r="AR75" s="35"/>
      <c r="AS75" s="35"/>
      <c r="AT75" s="35"/>
      <c r="AU75" s="35"/>
      <c r="AV75" s="35"/>
      <c r="AW75" s="35"/>
      <c r="AX75" s="35"/>
      <c r="AY75" s="35"/>
      <c r="AZ75" s="35"/>
      <c r="BA75" s="35"/>
      <c r="BB75" s="35"/>
      <c r="BC75" s="35"/>
      <c r="BD75" s="35"/>
      <c r="BE75" s="35"/>
      <c r="BG75" s="49"/>
      <c r="BI75" s="49"/>
      <c r="BL75" s="46"/>
      <c r="BM75" s="46"/>
      <c r="BN75" s="46"/>
      <c r="BO75" s="46"/>
    </row>
    <row r="76" spans="1:67" ht="15" x14ac:dyDescent="0.25">
      <c r="A76" s="50" t="s">
        <v>139</v>
      </c>
      <c r="B76" s="35"/>
      <c r="C76" s="35"/>
      <c r="D76" s="35"/>
      <c r="E76" s="35"/>
      <c r="F76" s="35"/>
      <c r="G76" s="35"/>
      <c r="H76" s="35"/>
      <c r="I76" s="35"/>
      <c r="J76" s="35"/>
      <c r="K76" s="35"/>
      <c r="L76" s="35"/>
      <c r="M76" s="37"/>
      <c r="N76" s="35"/>
      <c r="O76" s="35"/>
      <c r="P76" s="35"/>
      <c r="Q76" s="35"/>
      <c r="R76" s="35"/>
      <c r="S76" s="35"/>
      <c r="T76" s="35"/>
      <c r="U76" s="35"/>
      <c r="V76" s="37"/>
      <c r="W76" s="35"/>
      <c r="X76" s="35"/>
      <c r="Y76" s="35"/>
      <c r="Z76" s="35"/>
      <c r="AA76" s="35"/>
      <c r="AB76" s="35"/>
      <c r="AC76" s="35"/>
      <c r="AD76" s="35"/>
      <c r="AE76" s="35"/>
      <c r="AF76" s="48"/>
      <c r="AG76" s="35"/>
      <c r="AH76" s="35"/>
      <c r="AI76" s="35"/>
      <c r="AJ76" s="35"/>
      <c r="AK76" s="48"/>
      <c r="AL76" s="35"/>
      <c r="AM76" s="35"/>
      <c r="AN76" s="35"/>
      <c r="AO76" s="35"/>
      <c r="AP76" s="35"/>
      <c r="AQ76" s="35"/>
      <c r="AR76" s="35"/>
      <c r="AS76" s="35"/>
      <c r="AT76" s="35"/>
      <c r="AU76" s="35"/>
      <c r="AV76" s="35"/>
      <c r="AW76" s="35"/>
      <c r="AX76" s="35"/>
      <c r="AY76" s="35"/>
      <c r="AZ76" s="35"/>
      <c r="BA76" s="35"/>
      <c r="BB76" s="35"/>
      <c r="BC76" s="35"/>
      <c r="BD76" s="35"/>
      <c r="BE76" s="35"/>
      <c r="BG76" s="49"/>
      <c r="BI76" s="49"/>
      <c r="BL76" s="46"/>
      <c r="BM76" s="46"/>
      <c r="BN76" s="46"/>
      <c r="BO76" s="46"/>
    </row>
    <row r="77" spans="1:67" ht="15" x14ac:dyDescent="0.25">
      <c r="A77" s="50" t="s">
        <v>140</v>
      </c>
      <c r="B77" s="35"/>
      <c r="C77" s="35"/>
      <c r="D77" s="35"/>
      <c r="E77" s="35"/>
      <c r="F77" s="35"/>
      <c r="G77" s="35"/>
      <c r="H77" s="35"/>
      <c r="I77" s="35"/>
      <c r="J77" s="35"/>
      <c r="K77" s="35"/>
      <c r="L77" s="35"/>
      <c r="M77" s="37"/>
      <c r="N77" s="35"/>
      <c r="O77" s="35"/>
      <c r="P77" s="35"/>
      <c r="Q77" s="35"/>
      <c r="R77" s="35"/>
      <c r="S77" s="35"/>
      <c r="T77" s="35"/>
      <c r="U77" s="35"/>
      <c r="V77" s="37"/>
      <c r="W77" s="35"/>
      <c r="X77" s="35"/>
      <c r="Y77" s="35"/>
      <c r="Z77" s="35"/>
      <c r="AA77" s="35"/>
      <c r="AB77" s="35"/>
      <c r="AC77" s="35"/>
      <c r="AD77" s="35"/>
      <c r="AE77" s="35"/>
      <c r="AF77" s="35"/>
      <c r="AG77" s="35"/>
      <c r="AH77" s="35"/>
      <c r="AI77" s="35"/>
      <c r="AJ77" s="35"/>
      <c r="AK77" s="48"/>
      <c r="AL77" s="35"/>
      <c r="AM77" s="35"/>
      <c r="AN77" s="35"/>
      <c r="AO77" s="35"/>
      <c r="AP77" s="35"/>
      <c r="AQ77" s="35"/>
      <c r="AR77" s="35"/>
      <c r="AS77" s="35"/>
      <c r="AT77" s="35"/>
      <c r="AU77" s="35"/>
      <c r="AV77" s="35"/>
      <c r="AW77" s="35"/>
      <c r="AX77" s="35"/>
      <c r="AY77" s="35"/>
      <c r="AZ77" s="35"/>
      <c r="BA77" s="35"/>
      <c r="BB77" s="35"/>
      <c r="BC77" s="35"/>
      <c r="BD77" s="35"/>
      <c r="BE77" s="35"/>
      <c r="BG77" s="49"/>
      <c r="BI77" s="49"/>
      <c r="BL77" s="46"/>
      <c r="BM77" s="46"/>
      <c r="BN77" s="46"/>
      <c r="BO77" s="46"/>
    </row>
    <row r="78" spans="1:67" ht="15" x14ac:dyDescent="0.25">
      <c r="A78" s="47" t="s">
        <v>141</v>
      </c>
      <c r="B78" s="35"/>
      <c r="C78" s="35"/>
      <c r="D78" s="35"/>
      <c r="E78" s="35"/>
      <c r="F78" s="35"/>
      <c r="G78" s="35"/>
      <c r="H78" s="35"/>
      <c r="I78" s="35"/>
      <c r="J78" s="35"/>
      <c r="K78" s="35"/>
      <c r="L78" s="35"/>
      <c r="M78" s="37"/>
      <c r="N78" s="35"/>
      <c r="O78" s="35"/>
      <c r="P78" s="35"/>
      <c r="Q78" s="35"/>
      <c r="R78" s="35"/>
      <c r="S78" s="35"/>
      <c r="T78" s="35"/>
      <c r="U78" s="35"/>
      <c r="V78" s="37"/>
      <c r="W78" s="35"/>
      <c r="X78" s="35"/>
      <c r="Y78" s="35"/>
      <c r="Z78" s="35"/>
      <c r="AA78" s="35"/>
      <c r="AB78" s="35"/>
      <c r="AC78" s="35"/>
      <c r="AD78" s="35"/>
      <c r="AE78" s="35"/>
      <c r="AF78" s="35"/>
      <c r="AG78" s="35"/>
      <c r="AH78" s="35"/>
      <c r="AI78" s="35"/>
      <c r="AJ78" s="35"/>
      <c r="AK78" s="48"/>
      <c r="AL78" s="35"/>
      <c r="AM78" s="35"/>
      <c r="AN78" s="35"/>
      <c r="AO78" s="35"/>
      <c r="AP78" s="35"/>
      <c r="AQ78" s="35"/>
      <c r="AR78" s="35"/>
      <c r="AS78" s="35"/>
      <c r="AT78" s="35"/>
      <c r="AU78" s="35"/>
      <c r="AV78" s="35"/>
      <c r="AW78" s="35"/>
      <c r="AX78" s="35"/>
      <c r="AY78" s="35"/>
      <c r="AZ78" s="35"/>
      <c r="BA78" s="35"/>
      <c r="BB78" s="35"/>
      <c r="BC78" s="35"/>
      <c r="BD78" s="35"/>
      <c r="BE78" s="35"/>
      <c r="BG78" s="49"/>
      <c r="BI78" s="49"/>
      <c r="BL78" s="46"/>
      <c r="BM78" s="46"/>
      <c r="BN78" s="46"/>
      <c r="BO78" s="46"/>
    </row>
    <row r="79" spans="1:67" ht="15" x14ac:dyDescent="0.25">
      <c r="A79" s="50" t="s">
        <v>142</v>
      </c>
      <c r="B79" s="35"/>
      <c r="C79" s="35"/>
      <c r="D79" s="35"/>
      <c r="E79" s="35"/>
      <c r="F79" s="35"/>
      <c r="G79" s="35"/>
      <c r="H79" s="35"/>
      <c r="I79" s="35"/>
      <c r="J79" s="35"/>
      <c r="K79" s="35"/>
      <c r="L79" s="35"/>
      <c r="M79" s="37"/>
      <c r="N79" s="35"/>
      <c r="O79" s="35"/>
      <c r="P79" s="35"/>
      <c r="Q79" s="35"/>
      <c r="R79" s="35"/>
      <c r="S79" s="35"/>
      <c r="T79" s="35"/>
      <c r="U79" s="35"/>
      <c r="V79" s="37"/>
      <c r="W79" s="35"/>
      <c r="X79" s="35"/>
      <c r="Y79" s="35"/>
      <c r="Z79" s="35"/>
      <c r="AA79" s="35"/>
      <c r="AB79" s="35"/>
      <c r="AC79" s="35"/>
      <c r="AD79" s="35"/>
      <c r="AE79" s="35"/>
      <c r="AF79" s="35"/>
      <c r="AG79" s="35"/>
      <c r="AH79" s="35"/>
      <c r="AI79" s="35"/>
      <c r="AJ79" s="35"/>
      <c r="AK79" s="48"/>
      <c r="AL79" s="35"/>
      <c r="AM79" s="35"/>
      <c r="AN79" s="35"/>
      <c r="AO79" s="35"/>
      <c r="AP79" s="35"/>
      <c r="AQ79" s="35"/>
      <c r="AR79" s="35"/>
      <c r="AS79" s="35"/>
      <c r="AT79" s="35"/>
      <c r="AU79" s="35"/>
      <c r="AV79" s="35"/>
      <c r="AW79" s="35"/>
      <c r="AX79" s="35"/>
      <c r="AY79" s="35"/>
      <c r="AZ79" s="35"/>
      <c r="BA79" s="35"/>
      <c r="BB79" s="35"/>
      <c r="BC79" s="35"/>
      <c r="BD79" s="35"/>
      <c r="BE79" s="35"/>
      <c r="BI79" s="49"/>
      <c r="BL79" s="46"/>
      <c r="BM79" s="46"/>
      <c r="BN79" s="46"/>
      <c r="BO79" s="46"/>
    </row>
    <row r="80" spans="1:67" ht="15" x14ac:dyDescent="0.25">
      <c r="A80" s="50" t="s">
        <v>143</v>
      </c>
      <c r="B80" s="35"/>
      <c r="C80" s="35"/>
      <c r="D80" s="35"/>
      <c r="E80" s="35"/>
      <c r="F80" s="35"/>
      <c r="G80" s="35"/>
      <c r="H80" s="35"/>
      <c r="I80" s="35"/>
      <c r="J80" s="35"/>
      <c r="K80" s="35"/>
      <c r="L80" s="35"/>
      <c r="M80" s="37"/>
      <c r="N80" s="35"/>
      <c r="O80" s="35"/>
      <c r="P80" s="35"/>
      <c r="Q80" s="35"/>
      <c r="R80" s="35"/>
      <c r="S80" s="35"/>
      <c r="T80" s="35"/>
      <c r="U80" s="35"/>
      <c r="V80" s="37"/>
      <c r="W80" s="35"/>
      <c r="X80" s="35"/>
      <c r="Y80" s="35"/>
      <c r="Z80" s="35"/>
      <c r="AA80" s="35"/>
      <c r="AB80" s="35"/>
      <c r="AC80" s="35"/>
      <c r="AD80" s="35"/>
      <c r="AE80" s="35"/>
      <c r="AF80" s="35"/>
      <c r="AG80" s="35"/>
      <c r="AH80" s="35"/>
      <c r="AI80" s="35"/>
      <c r="AJ80" s="35"/>
      <c r="AK80" s="48"/>
      <c r="AL80" s="35"/>
      <c r="AM80" s="35"/>
      <c r="AN80" s="35"/>
      <c r="AO80" s="35"/>
      <c r="AP80" s="35"/>
      <c r="AQ80" s="35"/>
      <c r="AR80" s="35"/>
      <c r="AS80" s="35"/>
      <c r="AT80" s="35"/>
      <c r="AU80" s="35"/>
      <c r="AV80" s="35"/>
      <c r="AW80" s="35"/>
      <c r="AX80" s="35"/>
      <c r="AY80" s="35"/>
      <c r="AZ80" s="35"/>
      <c r="BA80" s="35"/>
      <c r="BB80" s="35"/>
      <c r="BC80" s="35"/>
      <c r="BD80" s="35"/>
      <c r="BE80" s="35"/>
      <c r="BI80" s="49"/>
      <c r="BL80" s="46"/>
      <c r="BM80" s="46"/>
      <c r="BN80" s="46"/>
      <c r="BO80" s="46"/>
    </row>
    <row r="81" spans="1:67" ht="15" x14ac:dyDescent="0.25">
      <c r="A81" s="34" t="s">
        <v>144</v>
      </c>
      <c r="B81" s="35">
        <v>0</v>
      </c>
      <c r="C81" s="35">
        <v>0</v>
      </c>
      <c r="D81" s="35">
        <v>0</v>
      </c>
      <c r="E81" s="35">
        <v>0</v>
      </c>
      <c r="F81" s="35">
        <v>0</v>
      </c>
      <c r="G81" s="35">
        <v>0</v>
      </c>
      <c r="H81" s="35">
        <v>0</v>
      </c>
      <c r="I81" s="35">
        <v>0</v>
      </c>
      <c r="J81" s="35">
        <v>0</v>
      </c>
      <c r="K81" s="35">
        <v>0</v>
      </c>
      <c r="L81" s="35">
        <v>0</v>
      </c>
      <c r="M81" s="37">
        <v>0</v>
      </c>
      <c r="N81" s="35">
        <v>0</v>
      </c>
      <c r="O81" s="35">
        <v>0</v>
      </c>
      <c r="P81" s="35">
        <v>0</v>
      </c>
      <c r="Q81" s="35">
        <v>0</v>
      </c>
      <c r="R81" s="35">
        <v>0</v>
      </c>
      <c r="S81" s="35">
        <v>0</v>
      </c>
      <c r="T81" s="35">
        <v>0</v>
      </c>
      <c r="U81" s="35">
        <v>0</v>
      </c>
      <c r="V81" s="37">
        <v>0</v>
      </c>
      <c r="W81" s="35">
        <v>0</v>
      </c>
      <c r="X81" s="35">
        <v>0</v>
      </c>
      <c r="Y81" s="35">
        <v>0</v>
      </c>
      <c r="Z81" s="35">
        <v>0</v>
      </c>
      <c r="AA81" s="35">
        <v>0</v>
      </c>
      <c r="AB81" s="35">
        <v>0</v>
      </c>
      <c r="AC81" s="35">
        <v>0</v>
      </c>
      <c r="AD81" s="35">
        <v>0</v>
      </c>
      <c r="AE81" s="35">
        <v>0</v>
      </c>
      <c r="AF81" s="35"/>
      <c r="AG81" s="35">
        <v>0</v>
      </c>
      <c r="AH81" s="35">
        <v>0</v>
      </c>
      <c r="AI81" s="35">
        <v>0</v>
      </c>
      <c r="AJ81" s="35"/>
      <c r="AK81" s="44"/>
      <c r="AL81" s="35">
        <v>0</v>
      </c>
      <c r="AM81" s="35">
        <v>0</v>
      </c>
      <c r="AN81" s="35">
        <v>0</v>
      </c>
      <c r="AO81" s="35">
        <v>0</v>
      </c>
      <c r="AP81" s="35">
        <v>0</v>
      </c>
      <c r="AQ81" s="35">
        <v>0</v>
      </c>
      <c r="AR81" s="35">
        <v>0</v>
      </c>
      <c r="AS81" s="35">
        <v>0</v>
      </c>
      <c r="AT81" s="35">
        <v>0</v>
      </c>
      <c r="AU81" s="35"/>
      <c r="AV81" s="35"/>
      <c r="AW81" s="35"/>
      <c r="AX81" s="35"/>
      <c r="AY81" s="35"/>
      <c r="AZ81" s="35"/>
      <c r="BA81" s="35">
        <v>0</v>
      </c>
      <c r="BB81" s="35">
        <v>0</v>
      </c>
      <c r="BC81" s="35">
        <v>0</v>
      </c>
      <c r="BD81" s="44"/>
      <c r="BE81" s="35">
        <v>0</v>
      </c>
      <c r="BL81" s="46"/>
      <c r="BM81" s="46"/>
      <c r="BN81" s="46"/>
      <c r="BO81" s="46"/>
    </row>
    <row r="82" spans="1:67" ht="15" x14ac:dyDescent="0.25">
      <c r="A82" s="47" t="s">
        <v>135</v>
      </c>
      <c r="B82" s="35"/>
      <c r="C82" s="35"/>
      <c r="D82" s="35"/>
      <c r="E82" s="35"/>
      <c r="F82" s="35"/>
      <c r="G82" s="35"/>
      <c r="H82" s="35"/>
      <c r="I82" s="35"/>
      <c r="J82" s="35"/>
      <c r="K82" s="35"/>
      <c r="L82" s="35"/>
      <c r="M82" s="37"/>
      <c r="N82" s="35"/>
      <c r="O82" s="35"/>
      <c r="P82" s="35"/>
      <c r="Q82" s="35"/>
      <c r="R82" s="35"/>
      <c r="S82" s="35"/>
      <c r="T82" s="35"/>
      <c r="U82" s="35"/>
      <c r="V82" s="37"/>
      <c r="W82" s="35"/>
      <c r="X82" s="35"/>
      <c r="Y82" s="35"/>
      <c r="Z82" s="35"/>
      <c r="AA82" s="35"/>
      <c r="AB82" s="35"/>
      <c r="AC82" s="35"/>
      <c r="AD82" s="35"/>
      <c r="AE82" s="35"/>
      <c r="AF82" s="35"/>
      <c r="AG82" s="35"/>
      <c r="AH82" s="35"/>
      <c r="AI82" s="35"/>
      <c r="AJ82" s="35"/>
      <c r="AK82" s="35"/>
      <c r="AL82" s="35"/>
      <c r="AM82" s="35"/>
      <c r="AN82" s="35"/>
      <c r="AO82" s="35"/>
      <c r="AP82" s="35"/>
      <c r="AQ82" s="35"/>
      <c r="AR82" s="35"/>
      <c r="AS82" s="35"/>
      <c r="AT82" s="35"/>
      <c r="AU82" s="35"/>
      <c r="AV82" s="35"/>
      <c r="AW82" s="35"/>
      <c r="AX82" s="35"/>
      <c r="AY82" s="35"/>
      <c r="AZ82" s="35"/>
      <c r="BA82" s="35"/>
      <c r="BB82" s="35"/>
      <c r="BC82" s="35"/>
      <c r="BD82" s="51">
        <f>11556-BD85</f>
        <v>2256.2732159999996</v>
      </c>
      <c r="BE82" s="35"/>
      <c r="BK82" s="49"/>
      <c r="BL82" s="46"/>
      <c r="BM82" s="46"/>
      <c r="BN82" s="46"/>
      <c r="BO82" s="46"/>
    </row>
    <row r="83" spans="1:67" ht="15" x14ac:dyDescent="0.25">
      <c r="A83" s="50" t="s">
        <v>145</v>
      </c>
      <c r="B83" s="35"/>
      <c r="C83" s="35"/>
      <c r="D83" s="35"/>
      <c r="E83" s="35"/>
      <c r="F83" s="35"/>
      <c r="G83" s="35"/>
      <c r="H83" s="35"/>
      <c r="I83" s="35"/>
      <c r="J83" s="35"/>
      <c r="K83" s="35"/>
      <c r="L83" s="35"/>
      <c r="M83" s="37"/>
      <c r="N83" s="35"/>
      <c r="O83" s="35"/>
      <c r="P83" s="35"/>
      <c r="Q83" s="35"/>
      <c r="R83" s="35"/>
      <c r="S83" s="35"/>
      <c r="T83" s="35"/>
      <c r="U83" s="35"/>
      <c r="V83" s="37"/>
      <c r="W83" s="35"/>
      <c r="X83" s="35"/>
      <c r="Y83" s="35"/>
      <c r="Z83" s="35"/>
      <c r="AA83" s="35"/>
      <c r="AB83" s="35"/>
      <c r="AC83" s="35"/>
      <c r="AD83" s="35"/>
      <c r="AE83" s="35"/>
      <c r="AF83" s="35"/>
      <c r="AG83" s="35"/>
      <c r="AH83" s="35"/>
      <c r="AI83" s="35"/>
      <c r="AJ83" s="35"/>
      <c r="AK83" s="35"/>
      <c r="AL83" s="35"/>
      <c r="AM83" s="35"/>
      <c r="AN83" s="35"/>
      <c r="AO83" s="35"/>
      <c r="AP83" s="35"/>
      <c r="AQ83" s="35"/>
      <c r="AR83" s="35"/>
      <c r="AS83" s="35"/>
      <c r="AT83" s="35"/>
      <c r="AU83" s="35"/>
      <c r="AV83" s="35"/>
      <c r="AW83" s="35"/>
      <c r="AX83" s="35"/>
      <c r="AY83" s="35"/>
      <c r="AZ83" s="35"/>
      <c r="BA83" s="35"/>
      <c r="BB83" s="35"/>
      <c r="BC83" s="35"/>
      <c r="BD83" s="48"/>
      <c r="BE83" s="35"/>
      <c r="BK83" s="49"/>
      <c r="BL83" s="46"/>
      <c r="BM83" s="46"/>
      <c r="BN83" s="46"/>
      <c r="BO83" s="46"/>
    </row>
    <row r="84" spans="1:67" ht="15" x14ac:dyDescent="0.25">
      <c r="A84" s="50" t="s">
        <v>146</v>
      </c>
      <c r="B84" s="35"/>
      <c r="C84" s="35"/>
      <c r="D84" s="35"/>
      <c r="E84" s="35"/>
      <c r="F84" s="35"/>
      <c r="G84" s="35"/>
      <c r="H84" s="35"/>
      <c r="I84" s="35"/>
      <c r="J84" s="35"/>
      <c r="K84" s="35"/>
      <c r="L84" s="35"/>
      <c r="M84" s="37"/>
      <c r="N84" s="35"/>
      <c r="O84" s="35"/>
      <c r="P84" s="35"/>
      <c r="Q84" s="35"/>
      <c r="R84" s="35"/>
      <c r="S84" s="35"/>
      <c r="T84" s="35"/>
      <c r="U84" s="35"/>
      <c r="V84" s="37"/>
      <c r="W84" s="35"/>
      <c r="X84" s="35"/>
      <c r="Y84" s="35"/>
      <c r="Z84" s="35"/>
      <c r="AA84" s="35"/>
      <c r="AB84" s="35"/>
      <c r="AC84" s="35"/>
      <c r="AD84" s="35"/>
      <c r="AE84" s="35"/>
      <c r="AF84" s="35"/>
      <c r="AG84" s="35"/>
      <c r="AH84" s="35"/>
      <c r="AI84" s="35"/>
      <c r="AJ84" s="35"/>
      <c r="AK84" s="35"/>
      <c r="AL84" s="35"/>
      <c r="AM84" s="35"/>
      <c r="AN84" s="35"/>
      <c r="AO84" s="35"/>
      <c r="AP84" s="35"/>
      <c r="AQ84" s="35"/>
      <c r="AR84" s="35"/>
      <c r="AS84" s="35"/>
      <c r="AT84" s="35"/>
      <c r="AU84" s="35"/>
      <c r="AV84" s="35"/>
      <c r="AW84" s="35"/>
      <c r="AX84" s="35"/>
      <c r="AY84" s="35"/>
      <c r="AZ84" s="35"/>
      <c r="BA84" s="35"/>
      <c r="BB84" s="35"/>
      <c r="BC84" s="35"/>
      <c r="BD84" s="48"/>
      <c r="BE84" s="35"/>
      <c r="BK84" s="49"/>
      <c r="BL84" s="46"/>
      <c r="BM84" s="46"/>
      <c r="BN84" s="46"/>
      <c r="BO84" s="46"/>
    </row>
    <row r="85" spans="1:67" ht="15" x14ac:dyDescent="0.25">
      <c r="A85" s="47" t="s">
        <v>141</v>
      </c>
      <c r="B85" s="35"/>
      <c r="C85" s="35"/>
      <c r="D85" s="35"/>
      <c r="E85" s="35"/>
      <c r="F85" s="35"/>
      <c r="G85" s="35"/>
      <c r="H85" s="35"/>
      <c r="I85" s="35"/>
      <c r="J85" s="35"/>
      <c r="K85" s="35"/>
      <c r="L85" s="35"/>
      <c r="M85" s="37"/>
      <c r="N85" s="35"/>
      <c r="O85" s="35"/>
      <c r="P85" s="35"/>
      <c r="Q85" s="35"/>
      <c r="R85" s="35"/>
      <c r="S85" s="35"/>
      <c r="T85" s="35"/>
      <c r="U85" s="35"/>
      <c r="V85" s="37"/>
      <c r="W85" s="35"/>
      <c r="X85" s="35"/>
      <c r="Y85" s="35"/>
      <c r="Z85" s="35"/>
      <c r="AA85" s="35"/>
      <c r="AB85" s="35"/>
      <c r="AC85" s="35"/>
      <c r="AD85" s="35"/>
      <c r="AE85" s="35"/>
      <c r="AF85" s="35"/>
      <c r="AG85" s="35"/>
      <c r="AH85" s="35"/>
      <c r="AI85" s="35"/>
      <c r="AJ85" s="35"/>
      <c r="AK85" s="51">
        <f>BL138</f>
        <v>6473.0170817620256</v>
      </c>
      <c r="AL85" s="35"/>
      <c r="AM85" s="35"/>
      <c r="AN85" s="35"/>
      <c r="AO85" s="35"/>
      <c r="AP85" s="35"/>
      <c r="AQ85" s="35"/>
      <c r="AR85" s="35"/>
      <c r="AS85" s="35"/>
      <c r="AT85" s="35"/>
      <c r="AU85" s="35"/>
      <c r="AV85" s="35"/>
      <c r="AW85" s="35"/>
      <c r="AX85" s="35"/>
      <c r="AY85" s="35"/>
      <c r="AZ85" s="35"/>
      <c r="BA85" s="35"/>
      <c r="BB85" s="35"/>
      <c r="BC85" s="35"/>
      <c r="BD85" s="44">
        <f>BH137</f>
        <v>9299.7267840000004</v>
      </c>
      <c r="BE85" s="35"/>
      <c r="BI85" s="49"/>
      <c r="BK85" s="49"/>
      <c r="BL85" s="46"/>
      <c r="BM85" s="46"/>
      <c r="BN85" s="46"/>
      <c r="BO85" s="46"/>
    </row>
    <row r="86" spans="1:67" ht="15" x14ac:dyDescent="0.25">
      <c r="A86" s="34" t="s">
        <v>147</v>
      </c>
      <c r="B86" s="35">
        <v>0</v>
      </c>
      <c r="C86" s="35">
        <v>0</v>
      </c>
      <c r="D86" s="35">
        <v>0</v>
      </c>
      <c r="E86" s="35">
        <v>0</v>
      </c>
      <c r="F86" s="35">
        <v>0</v>
      </c>
      <c r="G86" s="35">
        <v>0</v>
      </c>
      <c r="H86" s="35">
        <v>0</v>
      </c>
      <c r="I86" s="35">
        <v>0</v>
      </c>
      <c r="J86" s="35">
        <v>0</v>
      </c>
      <c r="K86" s="35">
        <v>0</v>
      </c>
      <c r="L86" s="35">
        <v>0</v>
      </c>
      <c r="M86" s="37">
        <v>0</v>
      </c>
      <c r="N86" s="35">
        <v>0</v>
      </c>
      <c r="O86" s="35">
        <v>0</v>
      </c>
      <c r="P86" s="35">
        <v>0</v>
      </c>
      <c r="Q86" s="35">
        <v>0</v>
      </c>
      <c r="R86" s="35">
        <v>0</v>
      </c>
      <c r="S86" s="35">
        <v>0</v>
      </c>
      <c r="T86" s="35">
        <v>0</v>
      </c>
      <c r="U86" s="35">
        <v>0</v>
      </c>
      <c r="V86" s="37">
        <v>0</v>
      </c>
      <c r="W86" s="35">
        <v>0</v>
      </c>
      <c r="X86" s="35">
        <v>0</v>
      </c>
      <c r="Y86" s="35">
        <v>0</v>
      </c>
      <c r="Z86" s="35">
        <v>0</v>
      </c>
      <c r="AA86" s="35">
        <v>0</v>
      </c>
      <c r="AB86" s="35">
        <v>0</v>
      </c>
      <c r="AC86" s="35">
        <v>0</v>
      </c>
      <c r="AD86" s="35">
        <v>0</v>
      </c>
      <c r="AE86" s="35">
        <v>0</v>
      </c>
      <c r="AF86" s="35">
        <v>0</v>
      </c>
      <c r="AG86" s="35">
        <v>0</v>
      </c>
      <c r="AH86" s="35">
        <v>0</v>
      </c>
      <c r="AI86" s="35">
        <v>0</v>
      </c>
      <c r="AJ86" s="35">
        <v>0</v>
      </c>
      <c r="AK86" s="35">
        <v>0</v>
      </c>
      <c r="AL86" s="35">
        <v>1120</v>
      </c>
      <c r="AM86" s="35">
        <v>0</v>
      </c>
      <c r="AN86" s="35">
        <v>0</v>
      </c>
      <c r="AO86" s="35">
        <v>0</v>
      </c>
      <c r="AP86" s="35">
        <v>0</v>
      </c>
      <c r="AQ86" s="35">
        <v>0</v>
      </c>
      <c r="AR86" s="35">
        <v>0</v>
      </c>
      <c r="AS86" s="35">
        <v>0</v>
      </c>
      <c r="AT86" s="35">
        <v>0</v>
      </c>
      <c r="AU86" s="35"/>
      <c r="AV86" s="35"/>
      <c r="AW86" s="35"/>
      <c r="AX86" s="35"/>
      <c r="AY86" s="35"/>
      <c r="AZ86" s="35"/>
      <c r="BA86" s="35">
        <v>0</v>
      </c>
      <c r="BB86" s="35">
        <v>0</v>
      </c>
      <c r="BC86" s="35">
        <v>0</v>
      </c>
      <c r="BD86" s="44">
        <f>BH136</f>
        <v>1641.128256</v>
      </c>
      <c r="BE86" s="35">
        <v>0</v>
      </c>
      <c r="BL86" s="46"/>
      <c r="BM86" s="46"/>
      <c r="BN86" s="46"/>
      <c r="BO86" s="46"/>
    </row>
    <row r="87" spans="1:67" ht="15" x14ac:dyDescent="0.25">
      <c r="A87" s="34" t="s">
        <v>148</v>
      </c>
      <c r="B87" s="35">
        <v>0</v>
      </c>
      <c r="C87" s="35">
        <v>0</v>
      </c>
      <c r="D87" s="35">
        <v>0</v>
      </c>
      <c r="E87" s="35">
        <v>0</v>
      </c>
      <c r="F87" s="35">
        <v>0</v>
      </c>
      <c r="G87" s="35">
        <v>0</v>
      </c>
      <c r="H87" s="35">
        <v>0</v>
      </c>
      <c r="I87" s="35">
        <v>0</v>
      </c>
      <c r="J87" s="35">
        <v>0</v>
      </c>
      <c r="K87" s="35">
        <v>0</v>
      </c>
      <c r="L87" s="35">
        <v>0</v>
      </c>
      <c r="M87" s="37">
        <v>0</v>
      </c>
      <c r="N87" s="35">
        <v>0</v>
      </c>
      <c r="O87" s="35">
        <v>0</v>
      </c>
      <c r="P87" s="35">
        <v>0</v>
      </c>
      <c r="Q87" s="35">
        <v>0</v>
      </c>
      <c r="R87" s="35">
        <v>0</v>
      </c>
      <c r="S87" s="35">
        <v>0</v>
      </c>
      <c r="T87" s="35">
        <v>0</v>
      </c>
      <c r="U87" s="35">
        <v>0</v>
      </c>
      <c r="V87" s="37">
        <v>0</v>
      </c>
      <c r="W87" s="35">
        <v>0</v>
      </c>
      <c r="X87" s="35">
        <v>0</v>
      </c>
      <c r="Y87" s="35">
        <v>0</v>
      </c>
      <c r="Z87" s="35">
        <v>0</v>
      </c>
      <c r="AA87" s="35">
        <v>0</v>
      </c>
      <c r="AB87" s="35">
        <v>0</v>
      </c>
      <c r="AC87" s="35">
        <v>0</v>
      </c>
      <c r="AD87" s="35">
        <v>0</v>
      </c>
      <c r="AE87" s="35">
        <v>0</v>
      </c>
      <c r="AF87" s="35">
        <v>0</v>
      </c>
      <c r="AG87" s="35">
        <v>0</v>
      </c>
      <c r="AH87" s="35">
        <v>0</v>
      </c>
      <c r="AI87" s="35">
        <v>0</v>
      </c>
      <c r="AJ87" s="35">
        <v>0</v>
      </c>
      <c r="AK87" s="35">
        <v>0</v>
      </c>
      <c r="AL87" s="35">
        <v>1650</v>
      </c>
      <c r="AM87" s="35">
        <v>0</v>
      </c>
      <c r="AN87" s="35">
        <v>0</v>
      </c>
      <c r="AO87" s="35">
        <v>0</v>
      </c>
      <c r="AP87" s="35">
        <v>0</v>
      </c>
      <c r="AQ87" s="35">
        <v>0</v>
      </c>
      <c r="AR87" s="35">
        <v>0</v>
      </c>
      <c r="AS87" s="35">
        <v>0</v>
      </c>
      <c r="AT87" s="35">
        <v>0</v>
      </c>
      <c r="AU87" s="35"/>
      <c r="AV87" s="35"/>
      <c r="AW87" s="35"/>
      <c r="AX87" s="35"/>
      <c r="AY87" s="35"/>
      <c r="AZ87" s="35"/>
      <c r="BA87" s="35">
        <v>0</v>
      </c>
      <c r="BB87" s="35">
        <v>0</v>
      </c>
      <c r="BC87" s="35">
        <v>0</v>
      </c>
      <c r="BD87" s="35"/>
      <c r="BE87" s="35">
        <v>0</v>
      </c>
      <c r="BL87" s="46"/>
      <c r="BM87" s="46"/>
      <c r="BN87" s="46"/>
      <c r="BO87" s="46"/>
    </row>
    <row r="88" spans="1:67" ht="13.5" x14ac:dyDescent="0.25">
      <c r="A88" s="34" t="s">
        <v>149</v>
      </c>
      <c r="B88" s="35">
        <v>0</v>
      </c>
      <c r="C88" s="35">
        <v>0</v>
      </c>
      <c r="D88" s="35">
        <v>0</v>
      </c>
      <c r="E88" s="35">
        <v>0</v>
      </c>
      <c r="F88" s="35">
        <v>0</v>
      </c>
      <c r="G88" s="35">
        <v>0</v>
      </c>
      <c r="H88" s="35">
        <v>0</v>
      </c>
      <c r="I88" s="35">
        <v>0</v>
      </c>
      <c r="J88" s="35">
        <v>0</v>
      </c>
      <c r="K88" s="35">
        <v>0</v>
      </c>
      <c r="L88" s="35">
        <v>0</v>
      </c>
      <c r="M88" s="37">
        <v>0</v>
      </c>
      <c r="N88" s="35">
        <v>0</v>
      </c>
      <c r="O88" s="35">
        <v>0</v>
      </c>
      <c r="P88" s="35">
        <v>0</v>
      </c>
      <c r="Q88" s="35">
        <v>0</v>
      </c>
      <c r="R88" s="35">
        <v>0</v>
      </c>
      <c r="S88" s="35">
        <v>0</v>
      </c>
      <c r="T88" s="35">
        <v>0</v>
      </c>
      <c r="U88" s="35">
        <v>0</v>
      </c>
      <c r="V88" s="37">
        <v>0</v>
      </c>
      <c r="W88" s="35">
        <v>0</v>
      </c>
      <c r="X88" s="35">
        <v>0</v>
      </c>
      <c r="Y88" s="35">
        <v>0</v>
      </c>
      <c r="Z88" s="35">
        <v>0</v>
      </c>
      <c r="AA88" s="35">
        <v>0</v>
      </c>
      <c r="AB88" s="35">
        <v>0</v>
      </c>
      <c r="AC88" s="35">
        <v>0</v>
      </c>
      <c r="AD88" s="35">
        <v>0</v>
      </c>
      <c r="AE88" s="35">
        <v>0</v>
      </c>
      <c r="AF88" s="35">
        <v>0</v>
      </c>
      <c r="AG88" s="35">
        <v>0</v>
      </c>
      <c r="AH88" s="35">
        <v>0</v>
      </c>
      <c r="AI88" s="35">
        <v>0</v>
      </c>
      <c r="AJ88" s="35">
        <v>0</v>
      </c>
      <c r="AK88" s="35">
        <v>0</v>
      </c>
      <c r="AL88" s="35">
        <v>0</v>
      </c>
      <c r="AM88" s="35">
        <v>0</v>
      </c>
      <c r="AN88" s="35">
        <v>0</v>
      </c>
      <c r="AO88" s="35">
        <v>0</v>
      </c>
      <c r="AP88" s="35">
        <v>0</v>
      </c>
      <c r="AQ88" s="35">
        <v>0</v>
      </c>
      <c r="AR88" s="35">
        <v>0</v>
      </c>
      <c r="AS88" s="35">
        <v>0</v>
      </c>
      <c r="AT88" s="35">
        <v>0</v>
      </c>
      <c r="AU88" s="35"/>
      <c r="AV88" s="35"/>
      <c r="AW88" s="35"/>
      <c r="AX88" s="35"/>
      <c r="AY88" s="35"/>
      <c r="AZ88" s="35"/>
      <c r="BA88" s="35">
        <v>0</v>
      </c>
      <c r="BB88" s="35">
        <v>0</v>
      </c>
      <c r="BC88" s="35">
        <v>0</v>
      </c>
      <c r="BD88" s="44">
        <v>1836</v>
      </c>
      <c r="BE88" s="35">
        <v>0</v>
      </c>
    </row>
    <row r="89" spans="1:67" x14ac:dyDescent="0.2">
      <c r="A89" s="34"/>
      <c r="B89" s="41"/>
      <c r="C89" s="35"/>
      <c r="D89" s="35"/>
      <c r="E89" s="35"/>
      <c r="F89" s="35"/>
      <c r="G89" s="35"/>
      <c r="H89" s="35"/>
      <c r="I89" s="35"/>
      <c r="J89" s="35"/>
      <c r="K89" s="35"/>
      <c r="L89" s="35"/>
      <c r="M89" s="37"/>
      <c r="N89" s="35"/>
      <c r="O89" s="35"/>
      <c r="P89" s="35"/>
      <c r="Q89" s="35"/>
      <c r="R89" s="35"/>
      <c r="S89" s="35"/>
      <c r="T89" s="35"/>
      <c r="U89" s="35"/>
      <c r="V89" s="37"/>
      <c r="W89" s="35"/>
      <c r="X89" s="35"/>
      <c r="Y89" s="35"/>
      <c r="Z89" s="35"/>
      <c r="AA89" s="35"/>
      <c r="AB89" s="35"/>
      <c r="AC89" s="35"/>
      <c r="AD89" s="35"/>
      <c r="AE89" s="35"/>
      <c r="AF89" s="35"/>
      <c r="AG89" s="35"/>
      <c r="AH89" s="35"/>
      <c r="AI89" s="35"/>
      <c r="AJ89" s="35"/>
      <c r="AK89" s="35"/>
      <c r="AL89" s="35"/>
      <c r="AM89" s="35"/>
      <c r="AN89" s="35"/>
      <c r="AO89" s="35"/>
      <c r="AP89" s="35"/>
      <c r="AQ89" s="35"/>
      <c r="AR89" s="35"/>
      <c r="AS89" s="35"/>
      <c r="AT89" s="35"/>
      <c r="AU89" s="35"/>
      <c r="AV89" s="35"/>
      <c r="AW89" s="35"/>
      <c r="AX89" s="35"/>
      <c r="AY89" s="35"/>
      <c r="AZ89" s="35"/>
      <c r="BA89" s="35"/>
      <c r="BB89" s="35"/>
      <c r="BC89" s="35"/>
      <c r="BD89" s="35"/>
      <c r="BE89" s="35"/>
    </row>
    <row r="90" spans="1:67" ht="15" hidden="1" outlineLevel="1" x14ac:dyDescent="0.25">
      <c r="A90" s="38" t="s">
        <v>150</v>
      </c>
      <c r="B90" s="35">
        <v>229766.21900000001</v>
      </c>
      <c r="C90" s="35">
        <v>0</v>
      </c>
      <c r="D90" s="35">
        <v>4539.6709999999994</v>
      </c>
      <c r="E90" s="35">
        <v>225226.54800000001</v>
      </c>
      <c r="F90" s="35">
        <v>0</v>
      </c>
      <c r="G90" s="35">
        <v>0</v>
      </c>
      <c r="H90" s="35">
        <v>0</v>
      </c>
      <c r="I90" s="35">
        <v>0</v>
      </c>
      <c r="J90" s="35">
        <v>0</v>
      </c>
      <c r="K90" s="35">
        <v>0</v>
      </c>
      <c r="L90" s="35">
        <v>0</v>
      </c>
      <c r="M90" s="37">
        <v>864.23</v>
      </c>
      <c r="N90" s="35">
        <v>0</v>
      </c>
      <c r="O90" s="35">
        <v>0</v>
      </c>
      <c r="P90" s="35">
        <v>0</v>
      </c>
      <c r="Q90" s="35">
        <v>190400</v>
      </c>
      <c r="R90" s="35">
        <v>0</v>
      </c>
      <c r="S90" s="35">
        <v>0</v>
      </c>
      <c r="T90" s="35">
        <v>0</v>
      </c>
      <c r="U90" s="35">
        <v>0</v>
      </c>
      <c r="V90" s="37">
        <v>0</v>
      </c>
      <c r="W90" s="35">
        <v>0</v>
      </c>
      <c r="X90" s="35">
        <v>0</v>
      </c>
      <c r="Y90" s="35">
        <v>0</v>
      </c>
      <c r="Z90" s="35">
        <v>0</v>
      </c>
      <c r="AA90" s="35">
        <v>0</v>
      </c>
      <c r="AB90" s="35">
        <v>0</v>
      </c>
      <c r="AC90" s="35">
        <v>1.6972419999999998E-2</v>
      </c>
      <c r="AD90" s="35">
        <v>0</v>
      </c>
      <c r="AE90" s="35">
        <v>13374.620897700001</v>
      </c>
      <c r="AF90" s="35">
        <v>5874.2619047999988</v>
      </c>
      <c r="AG90" s="35">
        <v>0</v>
      </c>
      <c r="AH90" s="35">
        <v>0</v>
      </c>
      <c r="AI90" s="35">
        <v>0</v>
      </c>
      <c r="AJ90" s="35">
        <v>26448.048624999999</v>
      </c>
      <c r="AK90" s="35">
        <v>41744.450013599992</v>
      </c>
      <c r="AL90" s="35">
        <v>19531.582595200001</v>
      </c>
      <c r="AM90" s="35">
        <v>0</v>
      </c>
      <c r="AN90" s="35">
        <v>4223.0867820000003</v>
      </c>
      <c r="AO90" s="35">
        <v>992.40316919999998</v>
      </c>
      <c r="AP90" s="35">
        <v>5235.2980992000003</v>
      </c>
      <c r="AQ90" s="35">
        <v>321.7628904</v>
      </c>
      <c r="AR90" s="35">
        <v>0</v>
      </c>
      <c r="AS90" s="35">
        <v>12783.95376</v>
      </c>
      <c r="AT90" s="35">
        <v>0</v>
      </c>
      <c r="AU90" s="35"/>
      <c r="AV90" s="35"/>
      <c r="AW90" s="35"/>
      <c r="AX90" s="35"/>
      <c r="AY90" s="35"/>
      <c r="AZ90" s="35"/>
      <c r="BA90" s="35">
        <v>0</v>
      </c>
      <c r="BB90" s="35">
        <v>0</v>
      </c>
      <c r="BC90" s="35">
        <v>0</v>
      </c>
      <c r="BD90" s="35">
        <v>344262.6936</v>
      </c>
      <c r="BE90" s="35">
        <v>0</v>
      </c>
      <c r="BL90" s="46"/>
      <c r="BM90" s="46"/>
      <c r="BN90" s="46"/>
      <c r="BO90" s="46"/>
    </row>
    <row r="91" spans="1:67" ht="15" hidden="1" outlineLevel="1" x14ac:dyDescent="0.25">
      <c r="A91" s="34" t="s">
        <v>151</v>
      </c>
      <c r="B91" s="35">
        <v>763.26300000000003</v>
      </c>
      <c r="C91" s="35">
        <v>0</v>
      </c>
      <c r="D91" s="35">
        <v>0</v>
      </c>
      <c r="E91" s="35">
        <v>763.26300000000003</v>
      </c>
      <c r="F91" s="35">
        <v>0</v>
      </c>
      <c r="G91" s="35">
        <v>0</v>
      </c>
      <c r="H91" s="35">
        <v>0</v>
      </c>
      <c r="I91" s="35">
        <v>0</v>
      </c>
      <c r="J91" s="35">
        <v>0</v>
      </c>
      <c r="K91" s="35">
        <v>0</v>
      </c>
      <c r="L91" s="35">
        <v>0</v>
      </c>
      <c r="M91" s="37">
        <v>0</v>
      </c>
      <c r="N91" s="35">
        <v>0</v>
      </c>
      <c r="O91" s="35">
        <v>0</v>
      </c>
      <c r="P91" s="35">
        <v>0</v>
      </c>
      <c r="Q91" s="35">
        <v>0</v>
      </c>
      <c r="R91" s="35">
        <v>0</v>
      </c>
      <c r="S91" s="35">
        <v>0</v>
      </c>
      <c r="T91" s="35">
        <v>0</v>
      </c>
      <c r="U91" s="35">
        <v>0</v>
      </c>
      <c r="V91" s="37">
        <v>0</v>
      </c>
      <c r="W91" s="35">
        <v>0</v>
      </c>
      <c r="X91" s="35">
        <v>0</v>
      </c>
      <c r="Y91" s="35">
        <v>0</v>
      </c>
      <c r="Z91" s="35">
        <v>0</v>
      </c>
      <c r="AA91" s="35">
        <v>0</v>
      </c>
      <c r="AB91" s="35">
        <v>0</v>
      </c>
      <c r="AC91" s="35">
        <v>1.81336E-3</v>
      </c>
      <c r="AD91" s="35">
        <v>0</v>
      </c>
      <c r="AE91" s="35">
        <v>1.3529157000000001</v>
      </c>
      <c r="AF91" s="35">
        <v>4964.1961086000001</v>
      </c>
      <c r="AG91" s="35">
        <v>0</v>
      </c>
      <c r="AH91" s="35">
        <v>0</v>
      </c>
      <c r="AI91" s="35">
        <v>0</v>
      </c>
      <c r="AJ91" s="35">
        <v>2509.7758600000002</v>
      </c>
      <c r="AK91" s="35">
        <v>38226.119077199997</v>
      </c>
      <c r="AL91" s="35">
        <v>1763.8130432</v>
      </c>
      <c r="AM91" s="35">
        <v>0</v>
      </c>
      <c r="AN91" s="35">
        <v>186.533829</v>
      </c>
      <c r="AO91" s="35">
        <v>940.08893939999984</v>
      </c>
      <c r="AP91" s="35">
        <v>0</v>
      </c>
      <c r="AQ91" s="35">
        <v>0</v>
      </c>
      <c r="AR91" s="35">
        <v>0</v>
      </c>
      <c r="AS91" s="35">
        <v>0</v>
      </c>
      <c r="AT91" s="35">
        <v>0</v>
      </c>
      <c r="AU91" s="35"/>
      <c r="AV91" s="35"/>
      <c r="AW91" s="35"/>
      <c r="AX91" s="35"/>
      <c r="AY91" s="35"/>
      <c r="AZ91" s="35"/>
      <c r="BA91" s="35">
        <v>0</v>
      </c>
      <c r="BB91" s="35">
        <v>0</v>
      </c>
      <c r="BC91" s="35">
        <v>0</v>
      </c>
      <c r="BD91" s="35">
        <v>21029.392800000001</v>
      </c>
      <c r="BE91" s="35">
        <v>0</v>
      </c>
      <c r="BL91" s="46"/>
      <c r="BM91" s="46"/>
      <c r="BN91" s="46"/>
      <c r="BO91" s="46"/>
    </row>
    <row r="92" spans="1:67" ht="15" hidden="1" outlineLevel="1" x14ac:dyDescent="0.25">
      <c r="A92" s="34" t="s">
        <v>152</v>
      </c>
      <c r="B92" s="35">
        <v>76301.756666666668</v>
      </c>
      <c r="C92" s="35">
        <v>0</v>
      </c>
      <c r="D92" s="35">
        <v>1513.223666666667</v>
      </c>
      <c r="E92" s="35">
        <v>74788.532999999996</v>
      </c>
      <c r="F92" s="35">
        <v>0</v>
      </c>
      <c r="G92" s="35">
        <v>0</v>
      </c>
      <c r="H92" s="35">
        <v>0</v>
      </c>
      <c r="I92" s="35">
        <v>0</v>
      </c>
      <c r="J92" s="35">
        <v>0</v>
      </c>
      <c r="K92" s="35">
        <v>0</v>
      </c>
      <c r="L92" s="35">
        <v>0</v>
      </c>
      <c r="M92" s="37">
        <v>864.23</v>
      </c>
      <c r="N92" s="35">
        <v>0</v>
      </c>
      <c r="O92" s="35">
        <v>0</v>
      </c>
      <c r="P92" s="35">
        <v>0</v>
      </c>
      <c r="Q92" s="35">
        <v>0</v>
      </c>
      <c r="R92" s="35">
        <v>0</v>
      </c>
      <c r="S92" s="35">
        <v>0</v>
      </c>
      <c r="T92" s="35">
        <v>0</v>
      </c>
      <c r="U92" s="35">
        <v>0</v>
      </c>
      <c r="V92" s="37">
        <v>0</v>
      </c>
      <c r="W92" s="35">
        <v>0</v>
      </c>
      <c r="X92" s="35">
        <v>0</v>
      </c>
      <c r="Y92" s="35">
        <v>0</v>
      </c>
      <c r="Z92" s="35">
        <v>0</v>
      </c>
      <c r="AA92" s="35">
        <v>0</v>
      </c>
      <c r="AB92" s="35">
        <v>0</v>
      </c>
      <c r="AC92" s="35">
        <v>1.515906E-2</v>
      </c>
      <c r="AD92" s="35">
        <v>0</v>
      </c>
      <c r="AE92" s="35">
        <v>0</v>
      </c>
      <c r="AF92" s="35">
        <v>237.1015548</v>
      </c>
      <c r="AG92" s="35">
        <v>0</v>
      </c>
      <c r="AH92" s="35">
        <v>0</v>
      </c>
      <c r="AI92" s="35">
        <v>0</v>
      </c>
      <c r="AJ92" s="35">
        <v>1007.333806</v>
      </c>
      <c r="AK92" s="35">
        <v>1742.0246592000001</v>
      </c>
      <c r="AL92" s="35">
        <v>17766.613363199998</v>
      </c>
      <c r="AM92" s="35">
        <v>0</v>
      </c>
      <c r="AN92" s="35">
        <v>4036.5529529999999</v>
      </c>
      <c r="AO92" s="35">
        <v>52.229809799999991</v>
      </c>
      <c r="AP92" s="35">
        <v>5123.2927386000001</v>
      </c>
      <c r="AQ92" s="35">
        <v>321.7628904</v>
      </c>
      <c r="AR92" s="35">
        <v>0</v>
      </c>
      <c r="AS92" s="35">
        <v>0</v>
      </c>
      <c r="AT92" s="35">
        <v>0</v>
      </c>
      <c r="AU92" s="35"/>
      <c r="AV92" s="35"/>
      <c r="AW92" s="35"/>
      <c r="AX92" s="35"/>
      <c r="AY92" s="35"/>
      <c r="AZ92" s="35"/>
      <c r="BA92" s="35">
        <v>0</v>
      </c>
      <c r="BB92" s="35">
        <v>0</v>
      </c>
      <c r="BC92" s="35">
        <v>0</v>
      </c>
      <c r="BD92" s="35">
        <v>103798.06200000001</v>
      </c>
      <c r="BE92" s="35">
        <v>0</v>
      </c>
      <c r="BL92" s="46"/>
      <c r="BM92" s="46"/>
      <c r="BN92" s="46"/>
      <c r="BO92" s="46"/>
    </row>
    <row r="93" spans="1:67" ht="15" hidden="1" outlineLevel="1" x14ac:dyDescent="0.25">
      <c r="A93" s="34" t="s">
        <v>153</v>
      </c>
      <c r="B93" s="35">
        <v>152603.51333333331</v>
      </c>
      <c r="C93" s="35">
        <v>0</v>
      </c>
      <c r="D93" s="35">
        <v>3026.4473333333331</v>
      </c>
      <c r="E93" s="35">
        <v>149577.06599999999</v>
      </c>
      <c r="F93" s="35">
        <v>0</v>
      </c>
      <c r="G93" s="35">
        <v>0</v>
      </c>
      <c r="H93" s="35">
        <v>0</v>
      </c>
      <c r="I93" s="35">
        <v>0</v>
      </c>
      <c r="J93" s="35">
        <v>0</v>
      </c>
      <c r="K93" s="35">
        <v>0</v>
      </c>
      <c r="L93" s="35">
        <v>0</v>
      </c>
      <c r="M93" s="37">
        <v>0</v>
      </c>
      <c r="N93" s="35">
        <v>0</v>
      </c>
      <c r="O93" s="35">
        <v>0</v>
      </c>
      <c r="P93" s="35">
        <v>0</v>
      </c>
      <c r="Q93" s="35">
        <v>190400</v>
      </c>
      <c r="R93" s="35">
        <v>0</v>
      </c>
      <c r="S93" s="35">
        <v>0</v>
      </c>
      <c r="T93" s="35">
        <v>0</v>
      </c>
      <c r="U93" s="35">
        <v>0</v>
      </c>
      <c r="V93" s="37">
        <v>0</v>
      </c>
      <c r="W93" s="35">
        <v>0</v>
      </c>
      <c r="X93" s="35">
        <v>0</v>
      </c>
      <c r="Y93" s="35">
        <v>0</v>
      </c>
      <c r="Z93" s="35">
        <v>0</v>
      </c>
      <c r="AA93" s="35">
        <v>0</v>
      </c>
      <c r="AB93" s="35">
        <v>0</v>
      </c>
      <c r="AC93" s="35">
        <v>0</v>
      </c>
      <c r="AD93" s="35">
        <v>0</v>
      </c>
      <c r="AE93" s="35">
        <v>13373.267981999999</v>
      </c>
      <c r="AF93" s="35">
        <v>672.96424139999999</v>
      </c>
      <c r="AG93" s="35">
        <v>0</v>
      </c>
      <c r="AH93" s="35">
        <v>0</v>
      </c>
      <c r="AI93" s="35">
        <v>0</v>
      </c>
      <c r="AJ93" s="35">
        <v>22930.938958999999</v>
      </c>
      <c r="AK93" s="35">
        <v>1776.3062772000001</v>
      </c>
      <c r="AL93" s="35">
        <v>1.1561888</v>
      </c>
      <c r="AM93" s="35">
        <v>0</v>
      </c>
      <c r="AN93" s="35">
        <v>0</v>
      </c>
      <c r="AO93" s="35">
        <v>8.4419999999999995E-2</v>
      </c>
      <c r="AP93" s="35">
        <v>112.0053606</v>
      </c>
      <c r="AQ93" s="35">
        <v>0</v>
      </c>
      <c r="AR93" s="35">
        <v>0</v>
      </c>
      <c r="AS93" s="35">
        <v>0</v>
      </c>
      <c r="AT93" s="35">
        <v>0</v>
      </c>
      <c r="AU93" s="35"/>
      <c r="AV93" s="35"/>
      <c r="AW93" s="35"/>
      <c r="AX93" s="35"/>
      <c r="AY93" s="35"/>
      <c r="AZ93" s="35"/>
      <c r="BA93" s="35">
        <v>0</v>
      </c>
      <c r="BB93" s="35">
        <v>0</v>
      </c>
      <c r="BC93" s="35">
        <v>0</v>
      </c>
      <c r="BD93" s="35">
        <v>142815.29399999999</v>
      </c>
      <c r="BE93" s="35">
        <v>0</v>
      </c>
      <c r="BL93" s="46"/>
      <c r="BM93" s="46"/>
      <c r="BN93" s="46"/>
      <c r="BO93" s="46"/>
    </row>
    <row r="94" spans="1:67" ht="15" hidden="1" outlineLevel="1" x14ac:dyDescent="0.25">
      <c r="A94" s="34" t="s">
        <v>154</v>
      </c>
      <c r="B94" s="35">
        <v>97.685999999999993</v>
      </c>
      <c r="C94" s="35">
        <v>0</v>
      </c>
      <c r="D94" s="35">
        <v>0</v>
      </c>
      <c r="E94" s="35">
        <v>97.685999999999993</v>
      </c>
      <c r="F94" s="35">
        <v>0</v>
      </c>
      <c r="G94" s="35">
        <v>0</v>
      </c>
      <c r="H94" s="35">
        <v>0</v>
      </c>
      <c r="I94" s="35">
        <v>0</v>
      </c>
      <c r="J94" s="35">
        <v>0</v>
      </c>
      <c r="K94" s="35">
        <v>0</v>
      </c>
      <c r="L94" s="35">
        <v>0</v>
      </c>
      <c r="M94" s="37">
        <v>0</v>
      </c>
      <c r="N94" s="35">
        <v>0</v>
      </c>
      <c r="O94" s="35">
        <v>0</v>
      </c>
      <c r="P94" s="35">
        <v>0</v>
      </c>
      <c r="Q94" s="35">
        <v>0</v>
      </c>
      <c r="R94" s="35">
        <v>0</v>
      </c>
      <c r="S94" s="35">
        <v>0</v>
      </c>
      <c r="T94" s="35">
        <v>0</v>
      </c>
      <c r="U94" s="35">
        <v>0</v>
      </c>
      <c r="V94" s="37">
        <v>0</v>
      </c>
      <c r="W94" s="35">
        <v>0</v>
      </c>
      <c r="X94" s="35">
        <v>0</v>
      </c>
      <c r="Y94" s="35">
        <v>0</v>
      </c>
      <c r="Z94" s="35">
        <v>0</v>
      </c>
      <c r="AA94" s="35">
        <v>0</v>
      </c>
      <c r="AB94" s="35">
        <v>0</v>
      </c>
      <c r="AC94" s="35">
        <v>0</v>
      </c>
      <c r="AD94" s="35">
        <v>0</v>
      </c>
      <c r="AE94" s="35">
        <v>0</v>
      </c>
      <c r="AF94" s="35">
        <v>0</v>
      </c>
      <c r="AG94" s="35">
        <v>0</v>
      </c>
      <c r="AH94" s="35">
        <v>0</v>
      </c>
      <c r="AI94" s="35">
        <v>0</v>
      </c>
      <c r="AJ94" s="35">
        <v>0</v>
      </c>
      <c r="AK94" s="35">
        <v>0</v>
      </c>
      <c r="AL94" s="35">
        <v>0</v>
      </c>
      <c r="AM94" s="35">
        <v>0</v>
      </c>
      <c r="AN94" s="35">
        <v>0</v>
      </c>
      <c r="AO94" s="35">
        <v>0</v>
      </c>
      <c r="AP94" s="35">
        <v>0</v>
      </c>
      <c r="AQ94" s="35">
        <v>0</v>
      </c>
      <c r="AR94" s="35">
        <v>0</v>
      </c>
      <c r="AS94" s="35">
        <v>12783.95376</v>
      </c>
      <c r="AT94" s="35">
        <v>0</v>
      </c>
      <c r="AU94" s="35"/>
      <c r="AV94" s="35"/>
      <c r="AW94" s="35"/>
      <c r="AX94" s="35"/>
      <c r="AY94" s="35"/>
      <c r="AZ94" s="35"/>
      <c r="BA94" s="35">
        <v>0</v>
      </c>
      <c r="BB94" s="35">
        <v>0</v>
      </c>
      <c r="BC94" s="35">
        <v>0</v>
      </c>
      <c r="BD94" s="35">
        <v>76619.944799999997</v>
      </c>
      <c r="BE94" s="35">
        <v>0</v>
      </c>
      <c r="BL94" s="46"/>
      <c r="BM94" s="46"/>
      <c r="BN94" s="46"/>
      <c r="BO94" s="46"/>
    </row>
    <row r="95" spans="1:67" ht="15" hidden="1" outlineLevel="1" x14ac:dyDescent="0.25">
      <c r="A95" s="34"/>
      <c r="B95" s="41"/>
      <c r="C95" s="35"/>
      <c r="D95" s="35"/>
      <c r="E95" s="35"/>
      <c r="F95" s="35"/>
      <c r="G95" s="35"/>
      <c r="H95" s="35"/>
      <c r="I95" s="35"/>
      <c r="J95" s="35"/>
      <c r="K95" s="35"/>
      <c r="L95" s="35"/>
      <c r="M95" s="37"/>
      <c r="N95" s="35"/>
      <c r="O95" s="35"/>
      <c r="P95" s="35"/>
      <c r="Q95" s="35"/>
      <c r="R95" s="35"/>
      <c r="S95" s="35"/>
      <c r="T95" s="35"/>
      <c r="U95" s="35"/>
      <c r="V95" s="37"/>
      <c r="W95" s="35"/>
      <c r="X95" s="35"/>
      <c r="Y95" s="35"/>
      <c r="Z95" s="35"/>
      <c r="AA95" s="35"/>
      <c r="AB95" s="35"/>
      <c r="AC95" s="35"/>
      <c r="AD95" s="35"/>
      <c r="AE95" s="35"/>
      <c r="AF95" s="35"/>
      <c r="AG95" s="35"/>
      <c r="AH95" s="35"/>
      <c r="AI95" s="35"/>
      <c r="AJ95" s="35"/>
      <c r="AK95" s="35"/>
      <c r="AL95" s="35"/>
      <c r="AM95" s="35"/>
      <c r="AN95" s="35"/>
      <c r="AO95" s="35"/>
      <c r="AP95" s="35"/>
      <c r="AQ95" s="35"/>
      <c r="AR95" s="35"/>
      <c r="AS95" s="35"/>
      <c r="AT95" s="35"/>
      <c r="AU95" s="35"/>
      <c r="AV95" s="35"/>
      <c r="AW95" s="35"/>
      <c r="AX95" s="35"/>
      <c r="AY95" s="35"/>
      <c r="AZ95" s="35"/>
      <c r="BA95" s="35"/>
      <c r="BB95" s="35"/>
      <c r="BC95" s="35"/>
      <c r="BD95" s="35"/>
      <c r="BE95" s="35"/>
      <c r="BL95" s="46"/>
      <c r="BM95" s="46"/>
      <c r="BN95" s="46"/>
      <c r="BO95" s="46"/>
    </row>
    <row r="96" spans="1:67" ht="15" hidden="1" outlineLevel="1" x14ac:dyDescent="0.25">
      <c r="A96" s="38" t="s">
        <v>155</v>
      </c>
      <c r="B96" s="35">
        <v>0</v>
      </c>
      <c r="C96" s="39">
        <v>0</v>
      </c>
      <c r="D96" s="39">
        <v>0</v>
      </c>
      <c r="E96" s="39">
        <v>0</v>
      </c>
      <c r="F96" s="39">
        <v>0</v>
      </c>
      <c r="G96" s="39">
        <v>0</v>
      </c>
      <c r="H96" s="39">
        <v>0</v>
      </c>
      <c r="I96" s="39">
        <v>0</v>
      </c>
      <c r="J96" s="39">
        <v>0</v>
      </c>
      <c r="K96" s="39">
        <v>0</v>
      </c>
      <c r="L96" s="39">
        <v>0</v>
      </c>
      <c r="M96" s="40">
        <v>0</v>
      </c>
      <c r="N96" s="39">
        <v>0</v>
      </c>
      <c r="O96" s="39">
        <v>0</v>
      </c>
      <c r="P96" s="39">
        <v>0</v>
      </c>
      <c r="Q96" s="39">
        <v>0</v>
      </c>
      <c r="R96" s="39">
        <v>0</v>
      </c>
      <c r="S96" s="39">
        <v>0</v>
      </c>
      <c r="T96" s="39">
        <v>0</v>
      </c>
      <c r="U96" s="39">
        <v>0</v>
      </c>
      <c r="V96" s="40">
        <v>0</v>
      </c>
      <c r="W96" s="39">
        <v>0</v>
      </c>
      <c r="X96" s="39">
        <v>0</v>
      </c>
      <c r="Y96" s="39">
        <v>0</v>
      </c>
      <c r="Z96" s="39">
        <v>0</v>
      </c>
      <c r="AA96" s="39">
        <v>0</v>
      </c>
      <c r="AB96" s="39">
        <v>0</v>
      </c>
      <c r="AC96" s="39">
        <v>0</v>
      </c>
      <c r="AD96" s="39">
        <v>0</v>
      </c>
      <c r="AE96" s="39">
        <v>0</v>
      </c>
      <c r="AF96" s="39">
        <v>0</v>
      </c>
      <c r="AG96" s="39">
        <v>0</v>
      </c>
      <c r="AH96" s="39">
        <v>0</v>
      </c>
      <c r="AI96" s="39">
        <v>0</v>
      </c>
      <c r="AJ96" s="39">
        <v>0</v>
      </c>
      <c r="AK96" s="39">
        <v>0</v>
      </c>
      <c r="AL96" s="39">
        <v>0</v>
      </c>
      <c r="AM96" s="39">
        <v>0</v>
      </c>
      <c r="AN96" s="39">
        <v>4253.9954766000001</v>
      </c>
      <c r="AO96" s="39">
        <v>17195.366607600001</v>
      </c>
      <c r="AP96" s="39">
        <v>0</v>
      </c>
      <c r="AQ96" s="39">
        <v>0</v>
      </c>
      <c r="AR96" s="39">
        <v>0</v>
      </c>
      <c r="AS96" s="39">
        <v>0</v>
      </c>
      <c r="AT96" s="39">
        <v>0</v>
      </c>
      <c r="AU96" s="39"/>
      <c r="AV96" s="39"/>
      <c r="AW96" s="39"/>
      <c r="AX96" s="39"/>
      <c r="AY96" s="39"/>
      <c r="AZ96" s="39"/>
      <c r="BA96" s="39">
        <v>0</v>
      </c>
      <c r="BB96" s="39">
        <v>0</v>
      </c>
      <c r="BC96" s="39">
        <v>0</v>
      </c>
      <c r="BD96" s="39">
        <v>0</v>
      </c>
      <c r="BE96" s="39">
        <v>0</v>
      </c>
      <c r="BL96" s="46"/>
      <c r="BM96" s="46"/>
      <c r="BN96" s="46"/>
      <c r="BO96" s="46"/>
    </row>
    <row r="97" spans="1:67" ht="15" hidden="1" outlineLevel="1" x14ac:dyDescent="0.25">
      <c r="A97" s="34" t="s">
        <v>156</v>
      </c>
      <c r="B97" s="35">
        <v>0</v>
      </c>
      <c r="C97" s="35">
        <v>0</v>
      </c>
      <c r="D97" s="35">
        <v>0</v>
      </c>
      <c r="E97" s="35">
        <v>0</v>
      </c>
      <c r="F97" s="35">
        <v>0</v>
      </c>
      <c r="G97" s="35">
        <v>0</v>
      </c>
      <c r="H97" s="35">
        <v>0</v>
      </c>
      <c r="I97" s="35">
        <v>0</v>
      </c>
      <c r="J97" s="35">
        <v>0</v>
      </c>
      <c r="K97" s="35">
        <v>0</v>
      </c>
      <c r="L97" s="35">
        <v>0</v>
      </c>
      <c r="M97" s="37">
        <v>0</v>
      </c>
      <c r="N97" s="35">
        <v>0</v>
      </c>
      <c r="O97" s="35">
        <v>0</v>
      </c>
      <c r="P97" s="35">
        <v>0</v>
      </c>
      <c r="Q97" s="35">
        <v>0</v>
      </c>
      <c r="R97" s="35">
        <v>0</v>
      </c>
      <c r="S97" s="35">
        <v>0</v>
      </c>
      <c r="T97" s="35">
        <v>0</v>
      </c>
      <c r="U97" s="35">
        <v>0</v>
      </c>
      <c r="V97" s="37">
        <v>0</v>
      </c>
      <c r="W97" s="35">
        <v>0</v>
      </c>
      <c r="X97" s="35">
        <v>0</v>
      </c>
      <c r="Y97" s="35">
        <v>0</v>
      </c>
      <c r="Z97" s="35">
        <v>0</v>
      </c>
      <c r="AA97" s="35">
        <v>0</v>
      </c>
      <c r="AB97" s="35">
        <v>0</v>
      </c>
      <c r="AC97" s="35">
        <v>0</v>
      </c>
      <c r="AD97" s="35">
        <v>0</v>
      </c>
      <c r="AE97" s="35">
        <v>0</v>
      </c>
      <c r="AF97" s="35">
        <v>0</v>
      </c>
      <c r="AG97" s="35">
        <v>0</v>
      </c>
      <c r="AH97" s="35">
        <v>0</v>
      </c>
      <c r="AI97" s="35">
        <v>0</v>
      </c>
      <c r="AJ97" s="35">
        <v>0</v>
      </c>
      <c r="AK97" s="35">
        <v>0</v>
      </c>
      <c r="AL97" s="35">
        <v>0</v>
      </c>
      <c r="AM97" s="35">
        <v>0</v>
      </c>
      <c r="AN97" s="35">
        <v>4253.9954766000001</v>
      </c>
      <c r="AO97" s="35">
        <v>17195.366607600001</v>
      </c>
      <c r="AP97" s="35">
        <v>0</v>
      </c>
      <c r="AQ97" s="35">
        <v>0</v>
      </c>
      <c r="AR97" s="35">
        <v>0</v>
      </c>
      <c r="AS97" s="35">
        <v>0</v>
      </c>
      <c r="AT97" s="35">
        <v>0</v>
      </c>
      <c r="AU97" s="35"/>
      <c r="AV97" s="35"/>
      <c r="AW97" s="35"/>
      <c r="AX97" s="35"/>
      <c r="AY97" s="35"/>
      <c r="AZ97" s="35"/>
      <c r="BA97" s="35">
        <v>0</v>
      </c>
      <c r="BB97" s="35">
        <v>0</v>
      </c>
      <c r="BC97" s="35">
        <v>0</v>
      </c>
      <c r="BD97" s="35">
        <v>0</v>
      </c>
      <c r="BE97" s="35">
        <v>0</v>
      </c>
      <c r="BL97" s="46"/>
      <c r="BM97" s="46"/>
      <c r="BN97" s="46"/>
      <c r="BO97" s="46"/>
    </row>
    <row r="98" spans="1:67" ht="15" hidden="1" outlineLevel="1" x14ac:dyDescent="0.25">
      <c r="A98" s="34" t="s">
        <v>157</v>
      </c>
      <c r="B98" s="35">
        <v>0</v>
      </c>
      <c r="C98" s="35">
        <v>0</v>
      </c>
      <c r="D98" s="35">
        <v>0</v>
      </c>
      <c r="E98" s="35">
        <v>0</v>
      </c>
      <c r="F98" s="35">
        <v>0</v>
      </c>
      <c r="G98" s="35">
        <v>0</v>
      </c>
      <c r="H98" s="35">
        <v>0</v>
      </c>
      <c r="I98" s="35">
        <v>0</v>
      </c>
      <c r="J98" s="35">
        <v>0</v>
      </c>
      <c r="K98" s="35">
        <v>0</v>
      </c>
      <c r="L98" s="35">
        <v>0</v>
      </c>
      <c r="M98" s="37">
        <v>0</v>
      </c>
      <c r="N98" s="35">
        <v>0</v>
      </c>
      <c r="O98" s="35">
        <v>0</v>
      </c>
      <c r="P98" s="35">
        <v>0</v>
      </c>
      <c r="Q98" s="35">
        <v>0</v>
      </c>
      <c r="R98" s="35">
        <v>0</v>
      </c>
      <c r="S98" s="35">
        <v>0</v>
      </c>
      <c r="T98" s="35">
        <v>0</v>
      </c>
      <c r="U98" s="35">
        <v>0</v>
      </c>
      <c r="V98" s="37">
        <v>0</v>
      </c>
      <c r="W98" s="35">
        <v>0</v>
      </c>
      <c r="X98" s="35">
        <v>0</v>
      </c>
      <c r="Y98" s="35">
        <v>0</v>
      </c>
      <c r="Z98" s="35">
        <v>0</v>
      </c>
      <c r="AA98" s="35">
        <v>0</v>
      </c>
      <c r="AB98" s="35">
        <v>0</v>
      </c>
      <c r="AC98" s="35">
        <v>0</v>
      </c>
      <c r="AD98" s="35">
        <v>0</v>
      </c>
      <c r="AE98" s="35">
        <v>0</v>
      </c>
      <c r="AF98" s="35">
        <v>0</v>
      </c>
      <c r="AG98" s="35">
        <v>0</v>
      </c>
      <c r="AH98" s="35">
        <v>0</v>
      </c>
      <c r="AI98" s="35">
        <v>0</v>
      </c>
      <c r="AJ98" s="35">
        <v>0</v>
      </c>
      <c r="AK98" s="35">
        <v>0</v>
      </c>
      <c r="AL98" s="35">
        <v>0</v>
      </c>
      <c r="AM98" s="35">
        <v>0</v>
      </c>
      <c r="AN98" s="35">
        <v>0</v>
      </c>
      <c r="AO98" s="35">
        <v>0</v>
      </c>
      <c r="AP98" s="35">
        <v>0</v>
      </c>
      <c r="AQ98" s="35">
        <v>0</v>
      </c>
      <c r="AR98" s="35">
        <v>0</v>
      </c>
      <c r="AS98" s="35">
        <v>0</v>
      </c>
      <c r="AT98" s="35">
        <v>0</v>
      </c>
      <c r="AU98" s="35"/>
      <c r="AV98" s="35"/>
      <c r="AW98" s="35"/>
      <c r="AX98" s="35"/>
      <c r="AY98" s="35"/>
      <c r="AZ98" s="35"/>
      <c r="BA98" s="35">
        <v>0</v>
      </c>
      <c r="BB98" s="35">
        <v>0</v>
      </c>
      <c r="BC98" s="35">
        <v>0</v>
      </c>
      <c r="BD98" s="35">
        <v>0</v>
      </c>
      <c r="BE98" s="35">
        <v>0</v>
      </c>
      <c r="BL98" s="46"/>
      <c r="BM98" s="46"/>
      <c r="BN98" s="46"/>
      <c r="BO98" s="46"/>
    </row>
    <row r="99" spans="1:67" ht="15" hidden="1" outlineLevel="1" x14ac:dyDescent="0.25">
      <c r="A99" s="34" t="s">
        <v>158</v>
      </c>
      <c r="B99" s="35">
        <v>0</v>
      </c>
      <c r="C99" s="35">
        <v>0</v>
      </c>
      <c r="D99" s="35">
        <v>0</v>
      </c>
      <c r="E99" s="35">
        <v>0</v>
      </c>
      <c r="F99" s="35">
        <v>0</v>
      </c>
      <c r="G99" s="35">
        <v>0</v>
      </c>
      <c r="H99" s="35">
        <v>0</v>
      </c>
      <c r="I99" s="35">
        <v>0</v>
      </c>
      <c r="J99" s="35">
        <v>0</v>
      </c>
      <c r="K99" s="35">
        <v>0</v>
      </c>
      <c r="L99" s="35">
        <v>0</v>
      </c>
      <c r="M99" s="37">
        <v>0</v>
      </c>
      <c r="N99" s="35">
        <v>0</v>
      </c>
      <c r="O99" s="35">
        <v>0</v>
      </c>
      <c r="P99" s="35">
        <v>0</v>
      </c>
      <c r="Q99" s="35">
        <v>0</v>
      </c>
      <c r="R99" s="35">
        <v>0</v>
      </c>
      <c r="S99" s="35">
        <v>0</v>
      </c>
      <c r="T99" s="35">
        <v>0</v>
      </c>
      <c r="U99" s="35">
        <v>0</v>
      </c>
      <c r="V99" s="37">
        <v>0</v>
      </c>
      <c r="W99" s="35">
        <v>0</v>
      </c>
      <c r="X99" s="35">
        <v>0</v>
      </c>
      <c r="Y99" s="35">
        <v>0</v>
      </c>
      <c r="Z99" s="35">
        <v>0</v>
      </c>
      <c r="AA99" s="35">
        <v>0</v>
      </c>
      <c r="AB99" s="35">
        <v>0</v>
      </c>
      <c r="AC99" s="35">
        <v>0</v>
      </c>
      <c r="AD99" s="35">
        <v>0</v>
      </c>
      <c r="AE99" s="35">
        <v>0</v>
      </c>
      <c r="AF99" s="35">
        <v>0</v>
      </c>
      <c r="AG99" s="35">
        <v>0</v>
      </c>
      <c r="AH99" s="35">
        <v>0</v>
      </c>
      <c r="AI99" s="35">
        <v>0</v>
      </c>
      <c r="AJ99" s="35">
        <v>0</v>
      </c>
      <c r="AK99" s="35">
        <v>0</v>
      </c>
      <c r="AL99" s="35">
        <v>0</v>
      </c>
      <c r="AM99" s="35">
        <v>0</v>
      </c>
      <c r="AN99" s="35">
        <v>0</v>
      </c>
      <c r="AO99" s="35">
        <v>0</v>
      </c>
      <c r="AP99" s="35">
        <v>0</v>
      </c>
      <c r="AQ99" s="35">
        <v>0</v>
      </c>
      <c r="AR99" s="35">
        <v>0</v>
      </c>
      <c r="AS99" s="35">
        <v>0</v>
      </c>
      <c r="AT99" s="35">
        <v>0</v>
      </c>
      <c r="AU99" s="35"/>
      <c r="AV99" s="35"/>
      <c r="AW99" s="35"/>
      <c r="AX99" s="35"/>
      <c r="AY99" s="35"/>
      <c r="AZ99" s="35"/>
      <c r="BA99" s="35">
        <v>0</v>
      </c>
      <c r="BB99" s="35">
        <v>0</v>
      </c>
      <c r="BC99" s="35">
        <v>0</v>
      </c>
      <c r="BD99" s="35">
        <v>0</v>
      </c>
      <c r="BE99" s="35">
        <v>0</v>
      </c>
      <c r="BL99" s="46"/>
      <c r="BM99" s="46"/>
      <c r="BN99" s="46"/>
      <c r="BO99" s="46"/>
    </row>
    <row r="100" spans="1:67" ht="15" hidden="1" outlineLevel="1" x14ac:dyDescent="0.25">
      <c r="A100" s="34" t="s">
        <v>159</v>
      </c>
      <c r="B100" s="35">
        <v>52210.51</v>
      </c>
      <c r="C100" s="35">
        <v>0</v>
      </c>
      <c r="D100" s="35">
        <v>1368.6189999999999</v>
      </c>
      <c r="E100" s="35">
        <v>50841.890999999989</v>
      </c>
      <c r="F100" s="35">
        <v>0</v>
      </c>
      <c r="G100" s="35">
        <v>0</v>
      </c>
      <c r="H100" s="35">
        <v>0</v>
      </c>
      <c r="I100" s="35">
        <v>0</v>
      </c>
      <c r="J100" s="35">
        <v>0</v>
      </c>
      <c r="K100" s="35">
        <v>0</v>
      </c>
      <c r="L100" s="35">
        <v>0</v>
      </c>
      <c r="M100" s="37">
        <v>0</v>
      </c>
      <c r="N100" s="35">
        <v>0</v>
      </c>
      <c r="O100" s="35">
        <v>0</v>
      </c>
      <c r="P100" s="35">
        <v>0</v>
      </c>
      <c r="Q100" s="35">
        <v>0</v>
      </c>
      <c r="R100" s="35">
        <v>0</v>
      </c>
      <c r="S100" s="35">
        <v>0</v>
      </c>
      <c r="T100" s="35">
        <v>0</v>
      </c>
      <c r="U100" s="35">
        <v>0</v>
      </c>
      <c r="V100" s="37">
        <v>0</v>
      </c>
      <c r="W100" s="35">
        <v>0</v>
      </c>
      <c r="X100" s="35">
        <v>0</v>
      </c>
      <c r="Y100" s="35">
        <v>0</v>
      </c>
      <c r="Z100" s="35">
        <v>0</v>
      </c>
      <c r="AA100" s="35">
        <v>0</v>
      </c>
      <c r="AB100" s="35">
        <v>0</v>
      </c>
      <c r="AC100" s="35">
        <v>0</v>
      </c>
      <c r="AD100" s="35">
        <v>0</v>
      </c>
      <c r="AE100" s="35">
        <v>0</v>
      </c>
      <c r="AF100" s="35">
        <v>0</v>
      </c>
      <c r="AG100" s="35">
        <v>0</v>
      </c>
      <c r="AH100" s="35">
        <v>0</v>
      </c>
      <c r="AI100" s="35">
        <v>0</v>
      </c>
      <c r="AJ100" s="35">
        <v>0</v>
      </c>
      <c r="AK100" s="35">
        <v>0</v>
      </c>
      <c r="AL100" s="35">
        <v>0</v>
      </c>
      <c r="AM100" s="35">
        <v>0</v>
      </c>
      <c r="AN100" s="35">
        <v>0</v>
      </c>
      <c r="AO100" s="35">
        <v>0</v>
      </c>
      <c r="AP100" s="35">
        <v>0</v>
      </c>
      <c r="AQ100" s="35">
        <v>0</v>
      </c>
      <c r="AR100" s="35">
        <v>0</v>
      </c>
      <c r="AS100" s="35">
        <v>0</v>
      </c>
      <c r="AT100" s="35">
        <v>0</v>
      </c>
      <c r="AU100" s="35"/>
      <c r="AV100" s="35"/>
      <c r="AW100" s="35"/>
      <c r="AX100" s="35"/>
      <c r="AY100" s="35"/>
      <c r="AZ100" s="35"/>
      <c r="BA100" s="35">
        <v>0</v>
      </c>
      <c r="BB100" s="35">
        <v>0</v>
      </c>
      <c r="BC100" s="35">
        <v>0</v>
      </c>
      <c r="BD100" s="35">
        <v>0</v>
      </c>
      <c r="BE100" s="35">
        <v>0</v>
      </c>
      <c r="BL100" s="46"/>
      <c r="BM100" s="46"/>
      <c r="BN100" s="46"/>
      <c r="BO100" s="46"/>
    </row>
    <row r="101" spans="1:67" ht="15" hidden="1" outlineLevel="1" x14ac:dyDescent="0.25">
      <c r="A101" s="34"/>
      <c r="B101" s="35"/>
      <c r="C101" s="35"/>
      <c r="D101" s="35"/>
      <c r="E101" s="35"/>
      <c r="F101" s="35"/>
      <c r="G101" s="35"/>
      <c r="H101" s="35"/>
      <c r="I101" s="35"/>
      <c r="J101" s="35"/>
      <c r="K101" s="35"/>
      <c r="L101" s="35"/>
      <c r="M101" s="37"/>
      <c r="N101" s="35"/>
      <c r="O101" s="35"/>
      <c r="P101" s="35"/>
      <c r="Q101" s="35"/>
      <c r="R101" s="35"/>
      <c r="S101" s="35"/>
      <c r="T101" s="35"/>
      <c r="U101" s="35"/>
      <c r="V101" s="37"/>
      <c r="W101" s="35"/>
      <c r="X101" s="35"/>
      <c r="Y101" s="35"/>
      <c r="Z101" s="35"/>
      <c r="AA101" s="35"/>
      <c r="AB101" s="35"/>
      <c r="AC101" s="35"/>
      <c r="AD101" s="35"/>
      <c r="AE101" s="35"/>
      <c r="AF101" s="35"/>
      <c r="AG101" s="35"/>
      <c r="AH101" s="35"/>
      <c r="AI101" s="35"/>
      <c r="AJ101" s="35"/>
      <c r="AK101" s="35"/>
      <c r="AL101" s="35"/>
      <c r="AM101" s="35"/>
      <c r="AN101" s="35"/>
      <c r="AO101" s="35"/>
      <c r="AP101" s="35"/>
      <c r="AQ101" s="35"/>
      <c r="AR101" s="35"/>
      <c r="AS101" s="35"/>
      <c r="AT101" s="35"/>
      <c r="AU101" s="35"/>
      <c r="AV101" s="35"/>
      <c r="AW101" s="35"/>
      <c r="AX101" s="35"/>
      <c r="AY101" s="35"/>
      <c r="AZ101" s="35"/>
      <c r="BA101" s="35"/>
      <c r="BB101" s="35"/>
      <c r="BC101" s="35"/>
      <c r="BD101" s="35"/>
      <c r="BE101" s="35"/>
      <c r="BL101" s="46"/>
      <c r="BM101" s="46"/>
      <c r="BN101" s="46"/>
      <c r="BO101" s="46"/>
    </row>
    <row r="102" spans="1:67" ht="15" hidden="1" outlineLevel="1" x14ac:dyDescent="0.25">
      <c r="A102" s="38" t="s">
        <v>160</v>
      </c>
      <c r="B102" s="35">
        <v>220991.02499999999</v>
      </c>
      <c r="C102" s="35">
        <v>0</v>
      </c>
      <c r="D102" s="35">
        <v>0</v>
      </c>
      <c r="E102" s="35">
        <v>220991.02499999999</v>
      </c>
      <c r="F102" s="35">
        <v>0</v>
      </c>
      <c r="G102" s="35">
        <v>0</v>
      </c>
      <c r="H102" s="35">
        <v>0</v>
      </c>
      <c r="I102" s="35">
        <v>0</v>
      </c>
      <c r="J102" s="35">
        <v>0</v>
      </c>
      <c r="K102" s="35">
        <v>0</v>
      </c>
      <c r="L102" s="35">
        <v>0</v>
      </c>
      <c r="M102" s="37">
        <v>0</v>
      </c>
      <c r="N102" s="35">
        <v>0</v>
      </c>
      <c r="O102" s="35">
        <v>0</v>
      </c>
      <c r="P102" s="35">
        <v>0</v>
      </c>
      <c r="Q102" s="35">
        <v>203.98099999999999</v>
      </c>
      <c r="R102" s="35">
        <v>0</v>
      </c>
      <c r="S102" s="35">
        <v>0</v>
      </c>
      <c r="T102" s="35">
        <v>203.98099999999999</v>
      </c>
      <c r="U102" s="35">
        <v>0</v>
      </c>
      <c r="V102" s="37">
        <v>67.090999999999994</v>
      </c>
      <c r="W102" s="35">
        <v>0</v>
      </c>
      <c r="X102" s="35">
        <v>0</v>
      </c>
      <c r="Y102" s="35">
        <v>0</v>
      </c>
      <c r="Z102" s="35">
        <v>0</v>
      </c>
      <c r="AA102" s="35">
        <v>0</v>
      </c>
      <c r="AB102" s="35">
        <v>0</v>
      </c>
      <c r="AC102" s="35">
        <v>0</v>
      </c>
      <c r="AD102" s="35">
        <v>0</v>
      </c>
      <c r="AE102" s="35">
        <v>0</v>
      </c>
      <c r="AF102" s="35">
        <v>0</v>
      </c>
      <c r="AG102" s="35">
        <v>0</v>
      </c>
      <c r="AH102" s="35">
        <v>0</v>
      </c>
      <c r="AI102" s="35">
        <v>0</v>
      </c>
      <c r="AJ102" s="35">
        <v>0</v>
      </c>
      <c r="AK102" s="35">
        <v>0</v>
      </c>
      <c r="AL102" s="35">
        <v>0</v>
      </c>
      <c r="AM102" s="35">
        <v>0</v>
      </c>
      <c r="AN102" s="35">
        <v>0</v>
      </c>
      <c r="AO102" s="35">
        <v>0</v>
      </c>
      <c r="AP102" s="35">
        <v>0</v>
      </c>
      <c r="AQ102" s="35">
        <v>0</v>
      </c>
      <c r="AR102" s="35">
        <v>0</v>
      </c>
      <c r="AS102" s="35">
        <v>0</v>
      </c>
      <c r="AT102" s="35">
        <v>0</v>
      </c>
      <c r="AU102" s="35">
        <v>10026</v>
      </c>
      <c r="AV102" s="35">
        <v>2748.5149999999999</v>
      </c>
      <c r="AW102" s="35">
        <v>0</v>
      </c>
      <c r="AX102" s="35">
        <v>532</v>
      </c>
      <c r="AY102" s="35">
        <v>0</v>
      </c>
      <c r="AZ102" s="35">
        <v>32.228000000000002</v>
      </c>
      <c r="BA102" s="35">
        <v>0</v>
      </c>
      <c r="BB102" s="35">
        <v>0</v>
      </c>
      <c r="BC102" s="35">
        <v>0</v>
      </c>
      <c r="BD102" s="35">
        <v>234600.84</v>
      </c>
      <c r="BE102" s="35">
        <v>0</v>
      </c>
      <c r="BL102" s="46"/>
      <c r="BM102" s="46"/>
      <c r="BN102" s="46"/>
      <c r="BO102" s="46"/>
    </row>
    <row r="103" spans="1:67" ht="15" hidden="1" outlineLevel="1" x14ac:dyDescent="0.25">
      <c r="A103" s="34" t="s">
        <v>161</v>
      </c>
      <c r="B103" s="35">
        <v>214328</v>
      </c>
      <c r="C103" s="35">
        <v>0</v>
      </c>
      <c r="D103" s="35">
        <v>0</v>
      </c>
      <c r="E103" s="35">
        <v>214328</v>
      </c>
      <c r="F103" s="35">
        <v>0</v>
      </c>
      <c r="G103" s="35">
        <v>0</v>
      </c>
      <c r="H103" s="35">
        <v>0</v>
      </c>
      <c r="I103" s="35">
        <v>0</v>
      </c>
      <c r="J103" s="35">
        <v>0</v>
      </c>
      <c r="K103" s="35">
        <v>0</v>
      </c>
      <c r="L103" s="35">
        <v>0</v>
      </c>
      <c r="M103" s="37">
        <v>0</v>
      </c>
      <c r="N103" s="35">
        <v>0</v>
      </c>
      <c r="O103" s="35">
        <v>0</v>
      </c>
      <c r="P103" s="35">
        <v>0</v>
      </c>
      <c r="Q103" s="35">
        <v>0</v>
      </c>
      <c r="R103" s="35">
        <v>0</v>
      </c>
      <c r="S103" s="35">
        <v>0</v>
      </c>
      <c r="T103" s="35">
        <v>0</v>
      </c>
      <c r="U103" s="35">
        <v>0</v>
      </c>
      <c r="V103" s="37">
        <v>58</v>
      </c>
      <c r="W103" s="35">
        <v>0</v>
      </c>
      <c r="X103" s="35">
        <v>0</v>
      </c>
      <c r="Y103" s="35">
        <v>0</v>
      </c>
      <c r="Z103" s="35">
        <v>0</v>
      </c>
      <c r="AA103" s="35">
        <v>0</v>
      </c>
      <c r="AB103" s="35">
        <v>0</v>
      </c>
      <c r="AC103" s="35">
        <v>0</v>
      </c>
      <c r="AD103" s="35">
        <v>0</v>
      </c>
      <c r="AE103" s="35">
        <v>0</v>
      </c>
      <c r="AF103" s="35">
        <v>0</v>
      </c>
      <c r="AG103" s="35">
        <v>0</v>
      </c>
      <c r="AH103" s="35">
        <v>0</v>
      </c>
      <c r="AI103" s="35">
        <v>0</v>
      </c>
      <c r="AJ103" s="35">
        <v>0</v>
      </c>
      <c r="AK103" s="35">
        <v>0</v>
      </c>
      <c r="AL103" s="35">
        <v>0</v>
      </c>
      <c r="AM103" s="35">
        <v>0</v>
      </c>
      <c r="AN103" s="35">
        <v>0</v>
      </c>
      <c r="AO103" s="35">
        <v>0</v>
      </c>
      <c r="AP103" s="35">
        <v>0</v>
      </c>
      <c r="AQ103" s="35">
        <v>0</v>
      </c>
      <c r="AR103" s="35">
        <v>0</v>
      </c>
      <c r="AS103" s="35">
        <v>0</v>
      </c>
      <c r="AT103" s="35">
        <v>0</v>
      </c>
      <c r="AU103" s="35">
        <v>10026</v>
      </c>
      <c r="AV103" s="52">
        <v>2570.895</v>
      </c>
      <c r="AW103" s="35">
        <v>0</v>
      </c>
      <c r="AX103" s="35">
        <v>532</v>
      </c>
      <c r="AY103" s="35">
        <v>0</v>
      </c>
      <c r="AZ103" s="35">
        <v>32.228000000000002</v>
      </c>
      <c r="BA103" s="35">
        <v>0</v>
      </c>
      <c r="BB103" s="35">
        <v>0</v>
      </c>
      <c r="BC103" s="35">
        <v>0</v>
      </c>
      <c r="BD103" s="35">
        <v>227547.12299999999</v>
      </c>
      <c r="BE103" s="35">
        <v>0</v>
      </c>
      <c r="BL103" s="46"/>
      <c r="BM103" s="46"/>
      <c r="BN103" s="46"/>
      <c r="BO103" s="46"/>
    </row>
    <row r="104" spans="1:67" ht="15" hidden="1" outlineLevel="1" x14ac:dyDescent="0.25">
      <c r="A104" s="34" t="s">
        <v>162</v>
      </c>
      <c r="B104" s="35">
        <v>6663.0249999999996</v>
      </c>
      <c r="C104" s="35">
        <v>0</v>
      </c>
      <c r="D104" s="35">
        <v>0</v>
      </c>
      <c r="E104" s="35">
        <v>6663.0249999999996</v>
      </c>
      <c r="F104" s="35">
        <v>0</v>
      </c>
      <c r="G104" s="35">
        <v>0</v>
      </c>
      <c r="H104" s="35">
        <v>0</v>
      </c>
      <c r="I104" s="35">
        <v>0</v>
      </c>
      <c r="J104" s="35">
        <v>0</v>
      </c>
      <c r="K104" s="35">
        <v>0</v>
      </c>
      <c r="L104" s="35">
        <v>0</v>
      </c>
      <c r="M104" s="37">
        <v>0</v>
      </c>
      <c r="N104" s="35">
        <v>0</v>
      </c>
      <c r="O104" s="35">
        <v>0</v>
      </c>
      <c r="P104" s="35">
        <v>0</v>
      </c>
      <c r="Q104" s="35">
        <v>0</v>
      </c>
      <c r="R104" s="35">
        <v>0</v>
      </c>
      <c r="S104" s="35">
        <v>0</v>
      </c>
      <c r="T104" s="35">
        <v>0</v>
      </c>
      <c r="U104" s="35">
        <v>0</v>
      </c>
      <c r="V104" s="37">
        <v>9.0909999999999993</v>
      </c>
      <c r="W104" s="35">
        <v>0</v>
      </c>
      <c r="X104" s="35">
        <v>0</v>
      </c>
      <c r="Y104" s="35">
        <v>0</v>
      </c>
      <c r="Z104" s="35">
        <v>0</v>
      </c>
      <c r="AA104" s="35">
        <v>0</v>
      </c>
      <c r="AB104" s="35">
        <v>0</v>
      </c>
      <c r="AC104" s="35">
        <v>0</v>
      </c>
      <c r="AD104" s="35">
        <v>0</v>
      </c>
      <c r="AE104" s="35">
        <v>0</v>
      </c>
      <c r="AF104" s="35">
        <v>0</v>
      </c>
      <c r="AG104" s="35">
        <v>0</v>
      </c>
      <c r="AH104" s="35">
        <v>0</v>
      </c>
      <c r="AI104" s="35">
        <v>0</v>
      </c>
      <c r="AJ104" s="35">
        <v>0</v>
      </c>
      <c r="AK104" s="35">
        <v>0</v>
      </c>
      <c r="AL104" s="35">
        <v>0</v>
      </c>
      <c r="AM104" s="35">
        <v>0</v>
      </c>
      <c r="AN104" s="35">
        <v>0</v>
      </c>
      <c r="AO104" s="35">
        <v>0</v>
      </c>
      <c r="AP104" s="35">
        <v>0</v>
      </c>
      <c r="AQ104" s="35">
        <v>0</v>
      </c>
      <c r="AR104" s="35">
        <v>0</v>
      </c>
      <c r="AS104" s="35">
        <v>0</v>
      </c>
      <c r="AT104" s="35">
        <v>0</v>
      </c>
      <c r="AU104" s="35">
        <v>0</v>
      </c>
      <c r="AV104" s="35">
        <v>177.62</v>
      </c>
      <c r="AW104" s="35">
        <v>0</v>
      </c>
      <c r="AX104" s="35">
        <v>0</v>
      </c>
      <c r="AY104" s="35">
        <v>0</v>
      </c>
      <c r="AZ104" s="35">
        <v>0</v>
      </c>
      <c r="BA104" s="35">
        <v>0</v>
      </c>
      <c r="BB104" s="35">
        <v>0</v>
      </c>
      <c r="BC104" s="35">
        <v>0</v>
      </c>
      <c r="BD104" s="35">
        <v>6849.7360000000008</v>
      </c>
      <c r="BE104" s="35">
        <v>0</v>
      </c>
      <c r="BL104" s="46"/>
      <c r="BM104" s="46"/>
      <c r="BN104" s="46"/>
      <c r="BO104" s="46"/>
    </row>
    <row r="105" spans="1:67" ht="15" hidden="1" outlineLevel="1" x14ac:dyDescent="0.25">
      <c r="A105" s="34" t="s">
        <v>163</v>
      </c>
      <c r="B105" s="35">
        <v>0</v>
      </c>
      <c r="C105" s="35">
        <v>0</v>
      </c>
      <c r="D105" s="35">
        <v>0</v>
      </c>
      <c r="E105" s="35">
        <v>0</v>
      </c>
      <c r="F105" s="35">
        <v>0</v>
      </c>
      <c r="G105" s="35">
        <v>0</v>
      </c>
      <c r="H105" s="35">
        <v>0</v>
      </c>
      <c r="I105" s="35">
        <v>0</v>
      </c>
      <c r="J105" s="35">
        <v>0</v>
      </c>
      <c r="K105" s="35">
        <v>0</v>
      </c>
      <c r="L105" s="35">
        <v>0</v>
      </c>
      <c r="M105" s="37">
        <v>0</v>
      </c>
      <c r="N105" s="35">
        <v>0</v>
      </c>
      <c r="O105" s="35">
        <v>0</v>
      </c>
      <c r="P105" s="35">
        <v>0</v>
      </c>
      <c r="Q105" s="35">
        <v>0</v>
      </c>
      <c r="R105" s="35">
        <v>0</v>
      </c>
      <c r="S105" s="35">
        <v>0</v>
      </c>
      <c r="T105" s="35">
        <v>0</v>
      </c>
      <c r="U105" s="35">
        <v>0</v>
      </c>
      <c r="V105" s="37">
        <v>0</v>
      </c>
      <c r="W105" s="35">
        <v>0</v>
      </c>
      <c r="X105" s="35">
        <v>0</v>
      </c>
      <c r="Y105" s="35">
        <v>0</v>
      </c>
      <c r="Z105" s="35">
        <v>0</v>
      </c>
      <c r="AA105" s="35">
        <v>0</v>
      </c>
      <c r="AB105" s="35">
        <v>0</v>
      </c>
      <c r="AC105" s="35">
        <v>0</v>
      </c>
      <c r="AD105" s="35">
        <v>0</v>
      </c>
      <c r="AE105" s="35">
        <v>0</v>
      </c>
      <c r="AF105" s="35">
        <v>0</v>
      </c>
      <c r="AG105" s="35">
        <v>0</v>
      </c>
      <c r="AH105" s="35">
        <v>0</v>
      </c>
      <c r="AI105" s="35">
        <v>0</v>
      </c>
      <c r="AJ105" s="35">
        <v>0</v>
      </c>
      <c r="AK105" s="35">
        <v>0</v>
      </c>
      <c r="AL105" s="35">
        <v>0</v>
      </c>
      <c r="AM105" s="35">
        <v>0</v>
      </c>
      <c r="AN105" s="35">
        <v>0</v>
      </c>
      <c r="AO105" s="35">
        <v>0</v>
      </c>
      <c r="AP105" s="35">
        <v>0</v>
      </c>
      <c r="AQ105" s="35">
        <v>0</v>
      </c>
      <c r="AR105" s="35">
        <v>0</v>
      </c>
      <c r="AS105" s="35">
        <v>0</v>
      </c>
      <c r="AT105" s="35">
        <v>0</v>
      </c>
      <c r="AU105" s="35">
        <v>0</v>
      </c>
      <c r="AV105" s="35">
        <v>0</v>
      </c>
      <c r="AW105" s="35">
        <v>0</v>
      </c>
      <c r="AX105" s="35">
        <v>0</v>
      </c>
      <c r="AY105" s="35">
        <v>0</v>
      </c>
      <c r="AZ105" s="35">
        <v>0</v>
      </c>
      <c r="BA105" s="35">
        <v>0</v>
      </c>
      <c r="BB105" s="35">
        <v>0</v>
      </c>
      <c r="BC105" s="35">
        <v>0</v>
      </c>
      <c r="BD105" s="35">
        <v>0</v>
      </c>
      <c r="BE105" s="35">
        <v>0</v>
      </c>
      <c r="BL105" s="46"/>
      <c r="BM105" s="46"/>
      <c r="BN105" s="46"/>
      <c r="BO105" s="46"/>
    </row>
    <row r="106" spans="1:67" ht="15" hidden="1" outlineLevel="1" x14ac:dyDescent="0.25">
      <c r="A106" s="34" t="s">
        <v>164</v>
      </c>
      <c r="B106" s="35">
        <v>0</v>
      </c>
      <c r="C106" s="35">
        <v>0</v>
      </c>
      <c r="D106" s="35">
        <v>0</v>
      </c>
      <c r="E106" s="35">
        <v>0</v>
      </c>
      <c r="F106" s="35">
        <v>0</v>
      </c>
      <c r="G106" s="35">
        <v>0</v>
      </c>
      <c r="H106" s="35">
        <v>0</v>
      </c>
      <c r="I106" s="35">
        <v>0</v>
      </c>
      <c r="J106" s="35">
        <v>0</v>
      </c>
      <c r="K106" s="35">
        <v>0</v>
      </c>
      <c r="L106" s="35">
        <v>0</v>
      </c>
      <c r="M106" s="37">
        <v>0</v>
      </c>
      <c r="N106" s="35">
        <v>0</v>
      </c>
      <c r="O106" s="35">
        <v>0</v>
      </c>
      <c r="P106" s="35">
        <v>0</v>
      </c>
      <c r="Q106" s="35">
        <v>203.98099999999999</v>
      </c>
      <c r="R106" s="35">
        <v>0</v>
      </c>
      <c r="S106" s="35">
        <v>0</v>
      </c>
      <c r="T106" s="35">
        <v>203.98099999999999</v>
      </c>
      <c r="U106" s="35">
        <v>0</v>
      </c>
      <c r="V106" s="37">
        <v>0</v>
      </c>
      <c r="W106" s="35">
        <v>0</v>
      </c>
      <c r="X106" s="35">
        <v>0</v>
      </c>
      <c r="Y106" s="35">
        <v>0</v>
      </c>
      <c r="Z106" s="35">
        <v>0</v>
      </c>
      <c r="AA106" s="35">
        <v>0</v>
      </c>
      <c r="AB106" s="35">
        <v>0</v>
      </c>
      <c r="AC106" s="35">
        <v>0</v>
      </c>
      <c r="AD106" s="35">
        <v>0</v>
      </c>
      <c r="AE106" s="35">
        <v>0</v>
      </c>
      <c r="AF106" s="35">
        <v>0</v>
      </c>
      <c r="AG106" s="35">
        <v>0</v>
      </c>
      <c r="AH106" s="35">
        <v>0</v>
      </c>
      <c r="AI106" s="35">
        <v>0</v>
      </c>
      <c r="AJ106" s="35">
        <v>0</v>
      </c>
      <c r="AK106" s="35">
        <v>0</v>
      </c>
      <c r="AL106" s="35">
        <v>0</v>
      </c>
      <c r="AM106" s="35">
        <v>0</v>
      </c>
      <c r="AN106" s="35">
        <v>0</v>
      </c>
      <c r="AO106" s="35">
        <v>0</v>
      </c>
      <c r="AP106" s="35">
        <v>0</v>
      </c>
      <c r="AQ106" s="35">
        <v>0</v>
      </c>
      <c r="AR106" s="35">
        <v>0</v>
      </c>
      <c r="AS106" s="35">
        <v>0</v>
      </c>
      <c r="AT106" s="35">
        <v>0</v>
      </c>
      <c r="AU106" s="35">
        <v>0</v>
      </c>
      <c r="AV106" s="35">
        <v>0</v>
      </c>
      <c r="AW106" s="35">
        <v>0</v>
      </c>
      <c r="AX106" s="35">
        <v>0</v>
      </c>
      <c r="AY106" s="35">
        <v>0</v>
      </c>
      <c r="AZ106" s="35">
        <v>0</v>
      </c>
      <c r="BA106" s="35">
        <v>0</v>
      </c>
      <c r="BB106" s="35">
        <v>0</v>
      </c>
      <c r="BC106" s="35">
        <v>0</v>
      </c>
      <c r="BD106" s="35">
        <v>203.98099999999999</v>
      </c>
      <c r="BE106" s="35">
        <v>0</v>
      </c>
      <c r="BL106" s="46"/>
      <c r="BM106" s="46"/>
      <c r="BN106" s="46"/>
      <c r="BO106" s="46"/>
    </row>
    <row r="107" spans="1:67" ht="15" hidden="1" outlineLevel="1" x14ac:dyDescent="0.25">
      <c r="A107" s="34"/>
      <c r="B107" s="41"/>
      <c r="C107" s="35"/>
      <c r="D107" s="35"/>
      <c r="E107" s="35"/>
      <c r="F107" s="35"/>
      <c r="G107" s="35"/>
      <c r="H107" s="35"/>
      <c r="I107" s="35"/>
      <c r="J107" s="35"/>
      <c r="K107" s="35"/>
      <c r="L107" s="35"/>
      <c r="M107" s="37"/>
      <c r="N107" s="35"/>
      <c r="O107" s="35"/>
      <c r="P107" s="35"/>
      <c r="Q107" s="35"/>
      <c r="R107" s="35"/>
      <c r="S107" s="35"/>
      <c r="T107" s="35"/>
      <c r="U107" s="35"/>
      <c r="V107" s="37"/>
      <c r="W107" s="35"/>
      <c r="X107" s="35"/>
      <c r="Y107" s="35"/>
      <c r="Z107" s="35"/>
      <c r="AA107" s="35"/>
      <c r="AB107" s="35"/>
      <c r="AC107" s="35"/>
      <c r="AD107" s="35"/>
      <c r="AE107" s="35"/>
      <c r="AF107" s="35"/>
      <c r="AG107" s="35"/>
      <c r="AH107" s="35"/>
      <c r="AI107" s="35"/>
      <c r="AJ107" s="35"/>
      <c r="AK107" s="35"/>
      <c r="AL107" s="35"/>
      <c r="AM107" s="35"/>
      <c r="AN107" s="35"/>
      <c r="AO107" s="35"/>
      <c r="AP107" s="35"/>
      <c r="AQ107" s="35"/>
      <c r="AR107" s="35"/>
      <c r="AS107" s="35"/>
      <c r="AT107" s="35"/>
      <c r="AU107" s="35"/>
      <c r="AV107" s="35"/>
      <c r="AW107" s="35"/>
      <c r="AX107" s="35"/>
      <c r="AY107" s="35"/>
      <c r="AZ107" s="35"/>
      <c r="BA107" s="35"/>
      <c r="BB107" s="35"/>
      <c r="BC107" s="35"/>
      <c r="BD107" s="35">
        <v>0</v>
      </c>
      <c r="BE107" s="35"/>
      <c r="BL107" s="46"/>
      <c r="BM107" s="46"/>
      <c r="BN107" s="46"/>
      <c r="BO107" s="46"/>
    </row>
    <row r="108" spans="1:67" ht="15" hidden="1" outlineLevel="1" x14ac:dyDescent="0.25">
      <c r="A108" s="34" t="s">
        <v>165</v>
      </c>
      <c r="B108" s="35">
        <v>0</v>
      </c>
      <c r="C108" s="35">
        <v>0</v>
      </c>
      <c r="D108" s="35">
        <v>0</v>
      </c>
      <c r="E108" s="35">
        <v>0</v>
      </c>
      <c r="F108" s="35">
        <v>0</v>
      </c>
      <c r="G108" s="35">
        <v>0</v>
      </c>
      <c r="H108" s="35">
        <v>0</v>
      </c>
      <c r="I108" s="35">
        <v>0</v>
      </c>
      <c r="J108" s="35">
        <v>0</v>
      </c>
      <c r="K108" s="35">
        <v>0</v>
      </c>
      <c r="L108" s="35">
        <v>0</v>
      </c>
      <c r="M108" s="37">
        <v>0</v>
      </c>
      <c r="N108" s="35">
        <v>0</v>
      </c>
      <c r="O108" s="35">
        <v>0</v>
      </c>
      <c r="P108" s="35">
        <v>0</v>
      </c>
      <c r="Q108" s="35">
        <v>0</v>
      </c>
      <c r="R108" s="35">
        <v>0</v>
      </c>
      <c r="S108" s="35">
        <v>0</v>
      </c>
      <c r="T108" s="35">
        <v>0</v>
      </c>
      <c r="U108" s="35">
        <v>0</v>
      </c>
      <c r="V108" s="37">
        <v>0</v>
      </c>
      <c r="W108" s="35">
        <v>0</v>
      </c>
      <c r="X108" s="35">
        <v>0</v>
      </c>
      <c r="Y108" s="35">
        <v>0</v>
      </c>
      <c r="Z108" s="35">
        <v>0</v>
      </c>
      <c r="AA108" s="35">
        <v>0</v>
      </c>
      <c r="AB108" s="35">
        <v>0</v>
      </c>
      <c r="AC108" s="35">
        <v>0</v>
      </c>
      <c r="AD108" s="35">
        <v>0</v>
      </c>
      <c r="AE108" s="35">
        <v>0</v>
      </c>
      <c r="AF108" s="35">
        <v>0</v>
      </c>
      <c r="AG108" s="35">
        <v>0</v>
      </c>
      <c r="AH108" s="35">
        <v>0</v>
      </c>
      <c r="AI108" s="35">
        <v>0</v>
      </c>
      <c r="AJ108" s="35">
        <v>0</v>
      </c>
      <c r="AK108" s="35">
        <v>0</v>
      </c>
      <c r="AL108" s="35">
        <v>0</v>
      </c>
      <c r="AM108" s="35">
        <v>0</v>
      </c>
      <c r="AN108" s="35">
        <v>0</v>
      </c>
      <c r="AO108" s="35">
        <v>0</v>
      </c>
      <c r="AP108" s="35">
        <v>0</v>
      </c>
      <c r="AQ108" s="35">
        <v>0</v>
      </c>
      <c r="AR108" s="35">
        <v>0</v>
      </c>
      <c r="AS108" s="35">
        <v>0</v>
      </c>
      <c r="AT108" s="35">
        <v>0</v>
      </c>
      <c r="AU108" s="35">
        <v>0</v>
      </c>
      <c r="AV108" s="35">
        <v>0</v>
      </c>
      <c r="AW108" s="35">
        <v>0</v>
      </c>
      <c r="AX108" s="35">
        <v>0</v>
      </c>
      <c r="AY108" s="35">
        <v>0</v>
      </c>
      <c r="AZ108" s="35">
        <v>0</v>
      </c>
      <c r="BA108" s="35">
        <v>0</v>
      </c>
      <c r="BB108" s="35">
        <v>0</v>
      </c>
      <c r="BC108" s="35">
        <v>0</v>
      </c>
      <c r="BD108" s="35">
        <v>0</v>
      </c>
      <c r="BE108" s="35">
        <v>0</v>
      </c>
      <c r="BL108" s="46"/>
      <c r="BM108" s="46"/>
      <c r="BN108" s="46"/>
      <c r="BO108" s="46"/>
    </row>
    <row r="109" spans="1:67" ht="15" hidden="1" outlineLevel="1" x14ac:dyDescent="0.25">
      <c r="A109" s="34" t="s">
        <v>166</v>
      </c>
      <c r="B109" s="35">
        <v>0</v>
      </c>
      <c r="C109" s="35">
        <v>0</v>
      </c>
      <c r="D109" s="35">
        <v>0</v>
      </c>
      <c r="E109" s="35">
        <v>0</v>
      </c>
      <c r="F109" s="35">
        <v>0</v>
      </c>
      <c r="G109" s="35">
        <v>0</v>
      </c>
      <c r="H109" s="35">
        <v>0</v>
      </c>
      <c r="I109" s="35">
        <v>0</v>
      </c>
      <c r="J109" s="35">
        <v>0</v>
      </c>
      <c r="K109" s="35">
        <v>0</v>
      </c>
      <c r="L109" s="35">
        <v>0</v>
      </c>
      <c r="M109" s="37">
        <v>0</v>
      </c>
      <c r="N109" s="35">
        <v>0</v>
      </c>
      <c r="O109" s="35">
        <v>0</v>
      </c>
      <c r="P109" s="35">
        <v>0</v>
      </c>
      <c r="Q109" s="35">
        <v>0</v>
      </c>
      <c r="R109" s="35">
        <v>0</v>
      </c>
      <c r="S109" s="35">
        <v>0</v>
      </c>
      <c r="T109" s="35">
        <v>0</v>
      </c>
      <c r="U109" s="35">
        <v>0</v>
      </c>
      <c r="V109" s="37">
        <v>0</v>
      </c>
      <c r="W109" s="35">
        <v>0</v>
      </c>
      <c r="X109" s="35">
        <v>0</v>
      </c>
      <c r="Y109" s="35">
        <v>0</v>
      </c>
      <c r="Z109" s="35">
        <v>0</v>
      </c>
      <c r="AA109" s="35">
        <v>0</v>
      </c>
      <c r="AB109" s="35">
        <v>0</v>
      </c>
      <c r="AC109" s="35">
        <v>0</v>
      </c>
      <c r="AD109" s="35">
        <v>0</v>
      </c>
      <c r="AE109" s="35">
        <v>0</v>
      </c>
      <c r="AF109" s="35">
        <v>0</v>
      </c>
      <c r="AG109" s="35">
        <v>0</v>
      </c>
      <c r="AH109" s="35">
        <v>0</v>
      </c>
      <c r="AI109" s="35">
        <v>0</v>
      </c>
      <c r="AJ109" s="35">
        <v>0</v>
      </c>
      <c r="AK109" s="35">
        <v>0</v>
      </c>
      <c r="AL109" s="35">
        <v>0</v>
      </c>
      <c r="AM109" s="35">
        <v>0</v>
      </c>
      <c r="AN109" s="35">
        <v>0</v>
      </c>
      <c r="AO109" s="35">
        <v>0</v>
      </c>
      <c r="AP109" s="35">
        <v>0</v>
      </c>
      <c r="AQ109" s="35">
        <v>0</v>
      </c>
      <c r="AR109" s="35">
        <v>0</v>
      </c>
      <c r="AS109" s="35">
        <v>0</v>
      </c>
      <c r="AT109" s="35">
        <v>0</v>
      </c>
      <c r="AU109" s="35">
        <v>0</v>
      </c>
      <c r="AV109" s="35">
        <v>0</v>
      </c>
      <c r="AW109" s="35">
        <v>0</v>
      </c>
      <c r="AX109" s="35">
        <v>0</v>
      </c>
      <c r="AY109" s="35">
        <v>0</v>
      </c>
      <c r="AZ109" s="35">
        <v>0</v>
      </c>
      <c r="BA109" s="35">
        <v>0</v>
      </c>
      <c r="BB109" s="35">
        <v>0</v>
      </c>
      <c r="BC109" s="35">
        <v>0</v>
      </c>
      <c r="BD109" s="35">
        <v>0</v>
      </c>
      <c r="BE109" s="35">
        <v>0</v>
      </c>
      <c r="BL109" s="46"/>
      <c r="BM109" s="46"/>
      <c r="BN109" s="46"/>
      <c r="BO109" s="46"/>
    </row>
    <row r="110" spans="1:67" ht="15" hidden="1" outlineLevel="1" x14ac:dyDescent="0.25">
      <c r="A110" s="34" t="s">
        <v>167</v>
      </c>
      <c r="B110" s="35">
        <v>0</v>
      </c>
      <c r="C110" s="35">
        <v>0</v>
      </c>
      <c r="D110" s="35">
        <v>0</v>
      </c>
      <c r="E110" s="35">
        <v>0</v>
      </c>
      <c r="F110" s="35">
        <v>0</v>
      </c>
      <c r="G110" s="35">
        <v>0</v>
      </c>
      <c r="H110" s="35">
        <v>0</v>
      </c>
      <c r="I110" s="35">
        <v>0</v>
      </c>
      <c r="J110" s="35">
        <v>0</v>
      </c>
      <c r="K110" s="35">
        <v>0</v>
      </c>
      <c r="L110" s="35">
        <v>0</v>
      </c>
      <c r="M110" s="37">
        <v>0</v>
      </c>
      <c r="N110" s="35">
        <v>0</v>
      </c>
      <c r="O110" s="35">
        <v>0</v>
      </c>
      <c r="P110" s="35">
        <v>0</v>
      </c>
      <c r="Q110" s="35">
        <v>0</v>
      </c>
      <c r="R110" s="35">
        <v>0</v>
      </c>
      <c r="S110" s="35">
        <v>0</v>
      </c>
      <c r="T110" s="35">
        <v>0</v>
      </c>
      <c r="U110" s="35">
        <v>0</v>
      </c>
      <c r="V110" s="37">
        <v>0</v>
      </c>
      <c r="W110" s="35">
        <v>0</v>
      </c>
      <c r="X110" s="35">
        <v>0</v>
      </c>
      <c r="Y110" s="35">
        <v>0</v>
      </c>
      <c r="Z110" s="35">
        <v>0</v>
      </c>
      <c r="AA110" s="35">
        <v>0</v>
      </c>
      <c r="AB110" s="35">
        <v>0</v>
      </c>
      <c r="AC110" s="35">
        <v>0</v>
      </c>
      <c r="AD110" s="35">
        <v>0</v>
      </c>
      <c r="AE110" s="35">
        <v>0</v>
      </c>
      <c r="AF110" s="35">
        <v>0</v>
      </c>
      <c r="AG110" s="35">
        <v>0</v>
      </c>
      <c r="AH110" s="35">
        <v>0</v>
      </c>
      <c r="AI110" s="35">
        <v>0</v>
      </c>
      <c r="AJ110" s="35">
        <v>0</v>
      </c>
      <c r="AK110" s="35">
        <v>0</v>
      </c>
      <c r="AL110" s="35">
        <v>0</v>
      </c>
      <c r="AM110" s="35">
        <v>0</v>
      </c>
      <c r="AN110" s="35">
        <v>0</v>
      </c>
      <c r="AO110" s="35">
        <v>0</v>
      </c>
      <c r="AP110" s="35">
        <v>0</v>
      </c>
      <c r="AQ110" s="35">
        <v>0</v>
      </c>
      <c r="AR110" s="35">
        <v>0</v>
      </c>
      <c r="AS110" s="35">
        <v>0</v>
      </c>
      <c r="AT110" s="35">
        <v>0</v>
      </c>
      <c r="AU110" s="35">
        <v>0</v>
      </c>
      <c r="AV110" s="35">
        <v>0</v>
      </c>
      <c r="AW110" s="35">
        <v>0</v>
      </c>
      <c r="AX110" s="35">
        <v>0</v>
      </c>
      <c r="AY110" s="35">
        <v>0</v>
      </c>
      <c r="AZ110" s="35">
        <v>0</v>
      </c>
      <c r="BA110" s="35">
        <v>0</v>
      </c>
      <c r="BB110" s="35">
        <v>0</v>
      </c>
      <c r="BC110" s="35">
        <v>0</v>
      </c>
      <c r="BD110" s="35">
        <v>0</v>
      </c>
      <c r="BE110" s="35">
        <v>0</v>
      </c>
      <c r="BL110" s="46"/>
      <c r="BM110" s="46"/>
      <c r="BN110" s="46"/>
      <c r="BO110" s="46"/>
    </row>
    <row r="111" spans="1:67" ht="15" hidden="1" outlineLevel="1" x14ac:dyDescent="0.25">
      <c r="A111" s="34" t="s">
        <v>168</v>
      </c>
      <c r="B111" s="35">
        <v>0</v>
      </c>
      <c r="C111" s="35">
        <v>0</v>
      </c>
      <c r="D111" s="35">
        <v>0</v>
      </c>
      <c r="E111" s="35">
        <v>0</v>
      </c>
      <c r="F111" s="35">
        <v>0</v>
      </c>
      <c r="G111" s="35">
        <v>0</v>
      </c>
      <c r="H111" s="35">
        <v>0</v>
      </c>
      <c r="I111" s="35">
        <v>0</v>
      </c>
      <c r="J111" s="35">
        <v>0</v>
      </c>
      <c r="K111" s="35">
        <v>0</v>
      </c>
      <c r="L111" s="35">
        <v>0</v>
      </c>
      <c r="M111" s="37">
        <v>0</v>
      </c>
      <c r="N111" s="35">
        <v>0</v>
      </c>
      <c r="O111" s="35">
        <v>0</v>
      </c>
      <c r="P111" s="35">
        <v>0</v>
      </c>
      <c r="Q111" s="35">
        <v>0</v>
      </c>
      <c r="R111" s="35">
        <v>0</v>
      </c>
      <c r="S111" s="35">
        <v>0</v>
      </c>
      <c r="T111" s="35">
        <v>0</v>
      </c>
      <c r="U111" s="35">
        <v>0</v>
      </c>
      <c r="V111" s="37">
        <v>0</v>
      </c>
      <c r="W111" s="35">
        <v>0</v>
      </c>
      <c r="X111" s="35">
        <v>0</v>
      </c>
      <c r="Y111" s="35">
        <v>0</v>
      </c>
      <c r="Z111" s="35">
        <v>0</v>
      </c>
      <c r="AA111" s="35">
        <v>0</v>
      </c>
      <c r="AB111" s="35">
        <v>0</v>
      </c>
      <c r="AC111" s="35">
        <v>0</v>
      </c>
      <c r="AD111" s="35">
        <v>0</v>
      </c>
      <c r="AE111" s="35">
        <v>0</v>
      </c>
      <c r="AF111" s="35">
        <v>0</v>
      </c>
      <c r="AG111" s="35">
        <v>0</v>
      </c>
      <c r="AH111" s="35">
        <v>0</v>
      </c>
      <c r="AI111" s="35">
        <v>0</v>
      </c>
      <c r="AJ111" s="35">
        <v>0</v>
      </c>
      <c r="AK111" s="35">
        <v>0</v>
      </c>
      <c r="AL111" s="35">
        <v>0</v>
      </c>
      <c r="AM111" s="35">
        <v>0</v>
      </c>
      <c r="AN111" s="35">
        <v>0</v>
      </c>
      <c r="AO111" s="35">
        <v>0</v>
      </c>
      <c r="AP111" s="35">
        <v>0</v>
      </c>
      <c r="AQ111" s="35">
        <v>0</v>
      </c>
      <c r="AR111" s="35">
        <v>0</v>
      </c>
      <c r="AS111" s="35">
        <v>0</v>
      </c>
      <c r="AT111" s="35">
        <v>0</v>
      </c>
      <c r="AU111" s="35">
        <v>0</v>
      </c>
      <c r="AV111" s="35">
        <v>0</v>
      </c>
      <c r="AW111" s="35">
        <v>0</v>
      </c>
      <c r="AX111" s="35">
        <v>0</v>
      </c>
      <c r="AY111" s="35">
        <v>0</v>
      </c>
      <c r="AZ111" s="35">
        <v>0</v>
      </c>
      <c r="BA111" s="35">
        <v>0</v>
      </c>
      <c r="BB111" s="35">
        <v>0</v>
      </c>
      <c r="BC111" s="35">
        <v>0</v>
      </c>
      <c r="BD111" s="35">
        <v>0</v>
      </c>
      <c r="BE111" s="35">
        <v>0</v>
      </c>
      <c r="BL111" s="46"/>
      <c r="BM111" s="46"/>
      <c r="BN111" s="46"/>
      <c r="BO111" s="46"/>
    </row>
    <row r="112" spans="1:67" ht="15" hidden="1" outlineLevel="1" x14ac:dyDescent="0.25">
      <c r="A112" s="38" t="s">
        <v>169</v>
      </c>
      <c r="B112" s="39">
        <v>0</v>
      </c>
      <c r="C112" s="39">
        <v>0</v>
      </c>
      <c r="D112" s="39">
        <v>0</v>
      </c>
      <c r="E112" s="39">
        <v>0</v>
      </c>
      <c r="F112" s="39">
        <v>0</v>
      </c>
      <c r="G112" s="39">
        <v>0</v>
      </c>
      <c r="H112" s="39">
        <v>0</v>
      </c>
      <c r="I112" s="39">
        <v>0</v>
      </c>
      <c r="J112" s="39">
        <v>0</v>
      </c>
      <c r="K112" s="39">
        <v>0</v>
      </c>
      <c r="L112" s="39">
        <v>0</v>
      </c>
      <c r="M112" s="40">
        <v>0</v>
      </c>
      <c r="N112" s="39">
        <v>0</v>
      </c>
      <c r="O112" s="39">
        <v>0</v>
      </c>
      <c r="P112" s="39">
        <v>0</v>
      </c>
      <c r="Q112" s="39">
        <v>0</v>
      </c>
      <c r="R112" s="39">
        <v>0</v>
      </c>
      <c r="S112" s="39">
        <v>0</v>
      </c>
      <c r="T112" s="39">
        <v>0</v>
      </c>
      <c r="U112" s="39">
        <v>0</v>
      </c>
      <c r="V112" s="40">
        <v>0</v>
      </c>
      <c r="W112" s="39">
        <v>0</v>
      </c>
      <c r="X112" s="39">
        <v>0</v>
      </c>
      <c r="Y112" s="39">
        <v>0</v>
      </c>
      <c r="Z112" s="39">
        <v>0</v>
      </c>
      <c r="AA112" s="39">
        <v>0</v>
      </c>
      <c r="AB112" s="39">
        <v>0</v>
      </c>
      <c r="AC112" s="39">
        <v>0</v>
      </c>
      <c r="AD112" s="39">
        <v>0</v>
      </c>
      <c r="AE112" s="39">
        <v>0</v>
      </c>
      <c r="AF112" s="39">
        <v>0</v>
      </c>
      <c r="AG112" s="39">
        <v>0</v>
      </c>
      <c r="AH112" s="39">
        <v>0</v>
      </c>
      <c r="AI112" s="39">
        <v>0</v>
      </c>
      <c r="AJ112" s="39">
        <v>0</v>
      </c>
      <c r="AK112" s="39">
        <v>0</v>
      </c>
      <c r="AL112" s="39">
        <v>0</v>
      </c>
      <c r="AM112" s="39">
        <v>0</v>
      </c>
      <c r="AN112" s="39">
        <v>0</v>
      </c>
      <c r="AO112" s="39">
        <v>0</v>
      </c>
      <c r="AP112" s="39">
        <v>0</v>
      </c>
      <c r="AQ112" s="39">
        <v>0</v>
      </c>
      <c r="AR112" s="39">
        <v>0</v>
      </c>
      <c r="AS112" s="39">
        <v>0</v>
      </c>
      <c r="AT112" s="39">
        <v>0</v>
      </c>
      <c r="AU112" s="39">
        <v>0</v>
      </c>
      <c r="AV112" s="39">
        <v>0</v>
      </c>
      <c r="AW112" s="39">
        <v>0</v>
      </c>
      <c r="AX112" s="39">
        <v>0</v>
      </c>
      <c r="AY112" s="39">
        <v>0</v>
      </c>
      <c r="AZ112" s="39">
        <v>0</v>
      </c>
      <c r="BA112" s="39">
        <v>0</v>
      </c>
      <c r="BB112" s="39">
        <v>0</v>
      </c>
      <c r="BC112" s="39">
        <v>0</v>
      </c>
      <c r="BD112" s="39">
        <v>3096.105</v>
      </c>
      <c r="BE112" s="39">
        <v>0</v>
      </c>
      <c r="BL112" s="46"/>
      <c r="BM112" s="46"/>
      <c r="BN112" s="46"/>
      <c r="BO112" s="46"/>
    </row>
    <row r="113" spans="1:67" ht="15" hidden="1" outlineLevel="1" x14ac:dyDescent="0.25">
      <c r="A113" s="34"/>
      <c r="B113" s="35"/>
      <c r="C113" s="35"/>
      <c r="D113" s="35"/>
      <c r="E113" s="35"/>
      <c r="F113" s="35"/>
      <c r="G113" s="35"/>
      <c r="H113" s="35"/>
      <c r="I113" s="35"/>
      <c r="J113" s="35"/>
      <c r="K113" s="35"/>
      <c r="L113" s="35"/>
      <c r="M113" s="37"/>
      <c r="N113" s="35"/>
      <c r="O113" s="35"/>
      <c r="P113" s="35"/>
      <c r="Q113" s="35"/>
      <c r="R113" s="35"/>
      <c r="S113" s="35"/>
      <c r="T113" s="35"/>
      <c r="U113" s="35"/>
      <c r="V113" s="37"/>
      <c r="W113" s="35"/>
      <c r="X113" s="35"/>
      <c r="Y113" s="35"/>
      <c r="Z113" s="35"/>
      <c r="AA113" s="35"/>
      <c r="AB113" s="35"/>
      <c r="AC113" s="35"/>
      <c r="AD113" s="35"/>
      <c r="AE113" s="35"/>
      <c r="AF113" s="35"/>
      <c r="AG113" s="35"/>
      <c r="AH113" s="35"/>
      <c r="AI113" s="35"/>
      <c r="AJ113" s="35"/>
      <c r="AK113" s="35"/>
      <c r="AL113" s="35"/>
      <c r="AM113" s="35"/>
      <c r="AN113" s="35"/>
      <c r="AO113" s="35"/>
      <c r="AP113" s="35"/>
      <c r="AQ113" s="35"/>
      <c r="AR113" s="35"/>
      <c r="AS113" s="35"/>
      <c r="AT113" s="35"/>
      <c r="AU113" s="35"/>
      <c r="AV113" s="35"/>
      <c r="AW113" s="35"/>
      <c r="AX113" s="35"/>
      <c r="AY113" s="35"/>
      <c r="AZ113" s="35"/>
      <c r="BA113" s="35"/>
      <c r="BB113" s="35"/>
      <c r="BC113" s="35"/>
      <c r="BD113" s="35"/>
      <c r="BE113" s="35"/>
      <c r="BL113" s="46"/>
      <c r="BM113" s="46"/>
      <c r="BN113" s="46"/>
      <c r="BO113" s="46"/>
    </row>
    <row r="114" spans="1:67" ht="15" hidden="1" outlineLevel="1" x14ac:dyDescent="0.25">
      <c r="A114" s="34" t="s">
        <v>170</v>
      </c>
      <c r="B114" s="35">
        <v>0</v>
      </c>
      <c r="C114" s="35">
        <v>0</v>
      </c>
      <c r="D114" s="35">
        <v>0</v>
      </c>
      <c r="E114" s="35">
        <v>0</v>
      </c>
      <c r="F114" s="35">
        <v>0</v>
      </c>
      <c r="G114" s="35">
        <v>0</v>
      </c>
      <c r="H114" s="35">
        <v>0</v>
      </c>
      <c r="I114" s="35">
        <v>0</v>
      </c>
      <c r="J114" s="35">
        <v>0</v>
      </c>
      <c r="K114" s="35">
        <v>0</v>
      </c>
      <c r="L114" s="35">
        <v>0</v>
      </c>
      <c r="M114" s="37">
        <v>0</v>
      </c>
      <c r="N114" s="35">
        <v>0</v>
      </c>
      <c r="O114" s="35">
        <v>0</v>
      </c>
      <c r="P114" s="35">
        <v>0</v>
      </c>
      <c r="Q114" s="35">
        <v>0</v>
      </c>
      <c r="R114" s="35">
        <v>0</v>
      </c>
      <c r="S114" s="35">
        <v>0</v>
      </c>
      <c r="T114" s="35">
        <v>0</v>
      </c>
      <c r="U114" s="35">
        <v>0</v>
      </c>
      <c r="V114" s="37">
        <v>0</v>
      </c>
      <c r="W114" s="35">
        <v>0</v>
      </c>
      <c r="X114" s="35">
        <v>0</v>
      </c>
      <c r="Y114" s="35">
        <v>0</v>
      </c>
      <c r="Z114" s="35">
        <v>0</v>
      </c>
      <c r="AA114" s="35">
        <v>0</v>
      </c>
      <c r="AB114" s="35">
        <v>0</v>
      </c>
      <c r="AC114" s="35">
        <v>0</v>
      </c>
      <c r="AD114" s="35">
        <v>0</v>
      </c>
      <c r="AE114" s="35">
        <v>0</v>
      </c>
      <c r="AF114" s="35">
        <v>0</v>
      </c>
      <c r="AG114" s="35">
        <v>0</v>
      </c>
      <c r="AH114" s="35">
        <v>0</v>
      </c>
      <c r="AI114" s="35">
        <v>0</v>
      </c>
      <c r="AJ114" s="35">
        <v>0</v>
      </c>
      <c r="AK114" s="35">
        <v>0</v>
      </c>
      <c r="AL114" s="35">
        <v>0</v>
      </c>
      <c r="AM114" s="35">
        <v>0</v>
      </c>
      <c r="AN114" s="35">
        <v>0</v>
      </c>
      <c r="AO114" s="35">
        <v>0</v>
      </c>
      <c r="AP114" s="35">
        <v>0</v>
      </c>
      <c r="AQ114" s="35">
        <v>0</v>
      </c>
      <c r="AR114" s="35">
        <v>0</v>
      </c>
      <c r="AS114" s="35">
        <v>0</v>
      </c>
      <c r="AT114" s="35">
        <v>0</v>
      </c>
      <c r="AU114" s="35">
        <v>0</v>
      </c>
      <c r="AV114" s="35">
        <v>3096.105</v>
      </c>
      <c r="AW114" s="35">
        <v>0</v>
      </c>
      <c r="AX114" s="35">
        <v>0</v>
      </c>
      <c r="AY114" s="35">
        <v>0</v>
      </c>
      <c r="AZ114" s="35">
        <v>0</v>
      </c>
      <c r="BA114" s="35">
        <v>0</v>
      </c>
      <c r="BB114" s="35">
        <v>0</v>
      </c>
      <c r="BC114" s="35">
        <v>0</v>
      </c>
      <c r="BD114" s="35">
        <v>3096.105</v>
      </c>
      <c r="BE114" s="35">
        <v>0</v>
      </c>
      <c r="BL114" s="46"/>
      <c r="BM114" s="46"/>
      <c r="BN114" s="46"/>
      <c r="BO114" s="46"/>
    </row>
    <row r="115" spans="1:67" ht="15" hidden="1" outlineLevel="1" x14ac:dyDescent="0.25">
      <c r="A115" s="34"/>
      <c r="B115" s="35"/>
      <c r="C115" s="35"/>
      <c r="D115" s="35"/>
      <c r="E115" s="35"/>
      <c r="F115" s="35"/>
      <c r="G115" s="35"/>
      <c r="H115" s="35"/>
      <c r="I115" s="35"/>
      <c r="J115" s="35"/>
      <c r="K115" s="35"/>
      <c r="L115" s="35"/>
      <c r="M115" s="37"/>
      <c r="N115" s="35"/>
      <c r="O115" s="35"/>
      <c r="P115" s="35"/>
      <c r="Q115" s="35"/>
      <c r="R115" s="35"/>
      <c r="S115" s="35"/>
      <c r="T115" s="35"/>
      <c r="U115" s="35"/>
      <c r="V115" s="37"/>
      <c r="W115" s="35"/>
      <c r="X115" s="35"/>
      <c r="Y115" s="35"/>
      <c r="Z115" s="35"/>
      <c r="AA115" s="35"/>
      <c r="AB115" s="35"/>
      <c r="AC115" s="35"/>
      <c r="AD115" s="35"/>
      <c r="AE115" s="35"/>
      <c r="AF115" s="35"/>
      <c r="AG115" s="35"/>
      <c r="AH115" s="35"/>
      <c r="AI115" s="35"/>
      <c r="AJ115" s="35"/>
      <c r="AK115" s="35"/>
      <c r="AL115" s="35"/>
      <c r="AM115" s="35"/>
      <c r="AN115" s="35"/>
      <c r="AO115" s="35"/>
      <c r="AP115" s="35"/>
      <c r="AQ115" s="35"/>
      <c r="AR115" s="35"/>
      <c r="AS115" s="35"/>
      <c r="AT115" s="35"/>
      <c r="AU115" s="35"/>
      <c r="AV115" s="35"/>
      <c r="AW115" s="35"/>
      <c r="AX115" s="35"/>
      <c r="AY115" s="35"/>
      <c r="AZ115" s="35"/>
      <c r="BA115" s="35"/>
      <c r="BB115" s="35"/>
      <c r="BC115" s="35"/>
      <c r="BD115" s="35"/>
      <c r="BE115" s="35"/>
      <c r="BL115" s="46"/>
      <c r="BM115" s="46"/>
      <c r="BN115" s="46"/>
      <c r="BO115" s="46"/>
    </row>
    <row r="116" spans="1:67" ht="15" hidden="1" outlineLevel="1" x14ac:dyDescent="0.25">
      <c r="A116" s="34" t="s">
        <v>171</v>
      </c>
      <c r="B116" s="35">
        <v>0</v>
      </c>
      <c r="C116" s="35">
        <v>0</v>
      </c>
      <c r="D116" s="35">
        <v>0</v>
      </c>
      <c r="E116" s="35">
        <v>0</v>
      </c>
      <c r="F116" s="35">
        <v>0</v>
      </c>
      <c r="G116" s="35">
        <v>0</v>
      </c>
      <c r="H116" s="35">
        <v>0</v>
      </c>
      <c r="I116" s="35">
        <v>0</v>
      </c>
      <c r="J116" s="35">
        <v>0</v>
      </c>
      <c r="K116" s="35">
        <v>0</v>
      </c>
      <c r="L116" s="35">
        <v>0</v>
      </c>
      <c r="M116" s="37">
        <v>0</v>
      </c>
      <c r="N116" s="35">
        <v>0</v>
      </c>
      <c r="O116" s="35">
        <v>0</v>
      </c>
      <c r="P116" s="35">
        <v>0</v>
      </c>
      <c r="Q116" s="35">
        <v>0</v>
      </c>
      <c r="R116" s="35">
        <v>0</v>
      </c>
      <c r="S116" s="35">
        <v>0</v>
      </c>
      <c r="T116" s="35">
        <v>0</v>
      </c>
      <c r="U116" s="35">
        <v>0</v>
      </c>
      <c r="V116" s="37">
        <v>0</v>
      </c>
      <c r="W116" s="35">
        <v>0</v>
      </c>
      <c r="X116" s="35">
        <v>0</v>
      </c>
      <c r="Y116" s="35">
        <v>0</v>
      </c>
      <c r="Z116" s="35">
        <v>0</v>
      </c>
      <c r="AA116" s="35">
        <v>0</v>
      </c>
      <c r="AB116" s="35">
        <v>0</v>
      </c>
      <c r="AC116" s="35">
        <v>0</v>
      </c>
      <c r="AD116" s="35">
        <v>0</v>
      </c>
      <c r="AE116" s="35">
        <v>0</v>
      </c>
      <c r="AF116" s="35">
        <v>0</v>
      </c>
      <c r="AG116" s="35">
        <v>0</v>
      </c>
      <c r="AH116" s="35">
        <v>0</v>
      </c>
      <c r="AI116" s="35">
        <v>0</v>
      </c>
      <c r="AJ116" s="35">
        <v>0</v>
      </c>
      <c r="AK116" s="35">
        <v>0</v>
      </c>
      <c r="AL116" s="35">
        <v>0</v>
      </c>
      <c r="AM116" s="35">
        <v>0</v>
      </c>
      <c r="AN116" s="35">
        <v>0</v>
      </c>
      <c r="AO116" s="35">
        <v>0</v>
      </c>
      <c r="AP116" s="35">
        <v>0</v>
      </c>
      <c r="AQ116" s="35">
        <v>0</v>
      </c>
      <c r="AR116" s="35">
        <v>0</v>
      </c>
      <c r="AS116" s="35">
        <v>0</v>
      </c>
      <c r="AT116" s="35">
        <v>0</v>
      </c>
      <c r="AU116" s="35">
        <v>0</v>
      </c>
      <c r="AV116" s="35">
        <v>0</v>
      </c>
      <c r="AW116" s="35">
        <v>0</v>
      </c>
      <c r="AX116" s="35">
        <v>0</v>
      </c>
      <c r="AY116" s="35">
        <v>0</v>
      </c>
      <c r="AZ116" s="35">
        <v>0</v>
      </c>
      <c r="BA116" s="35">
        <v>0</v>
      </c>
      <c r="BB116" s="35">
        <v>0</v>
      </c>
      <c r="BC116" s="35">
        <v>0</v>
      </c>
      <c r="BD116" s="35">
        <v>0</v>
      </c>
      <c r="BE116" s="35">
        <v>0</v>
      </c>
      <c r="BL116" s="46"/>
      <c r="BM116" s="46"/>
      <c r="BN116" s="46"/>
      <c r="BO116" s="46"/>
    </row>
    <row r="117" spans="1:67" ht="15" hidden="1" outlineLevel="1" x14ac:dyDescent="0.25">
      <c r="A117" s="34" t="s">
        <v>172</v>
      </c>
      <c r="B117" s="35">
        <v>0</v>
      </c>
      <c r="C117" s="35">
        <v>0</v>
      </c>
      <c r="D117" s="35">
        <v>0</v>
      </c>
      <c r="E117" s="35">
        <v>0</v>
      </c>
      <c r="F117" s="35">
        <v>0</v>
      </c>
      <c r="G117" s="35">
        <v>0</v>
      </c>
      <c r="H117" s="35">
        <v>0</v>
      </c>
      <c r="I117" s="35">
        <v>0</v>
      </c>
      <c r="J117" s="35">
        <v>0</v>
      </c>
      <c r="K117" s="35">
        <v>0</v>
      </c>
      <c r="L117" s="35">
        <v>0</v>
      </c>
      <c r="M117" s="37">
        <v>0</v>
      </c>
      <c r="N117" s="35">
        <v>0</v>
      </c>
      <c r="O117" s="35">
        <v>0</v>
      </c>
      <c r="P117" s="35">
        <v>0</v>
      </c>
      <c r="Q117" s="35">
        <v>0</v>
      </c>
      <c r="R117" s="35">
        <v>0</v>
      </c>
      <c r="S117" s="35">
        <v>0</v>
      </c>
      <c r="T117" s="35">
        <v>0</v>
      </c>
      <c r="U117" s="35">
        <v>0</v>
      </c>
      <c r="V117" s="37">
        <v>0</v>
      </c>
      <c r="W117" s="35">
        <v>0</v>
      </c>
      <c r="X117" s="35">
        <v>0</v>
      </c>
      <c r="Y117" s="35">
        <v>0</v>
      </c>
      <c r="Z117" s="35">
        <v>0</v>
      </c>
      <c r="AA117" s="35">
        <v>0</v>
      </c>
      <c r="AB117" s="35">
        <v>0</v>
      </c>
      <c r="AC117" s="35">
        <v>0</v>
      </c>
      <c r="AD117" s="35">
        <v>0</v>
      </c>
      <c r="AE117" s="35">
        <v>0</v>
      </c>
      <c r="AF117" s="35">
        <v>0</v>
      </c>
      <c r="AG117" s="35">
        <v>0</v>
      </c>
      <c r="AH117" s="35">
        <v>0</v>
      </c>
      <c r="AI117" s="35">
        <v>0</v>
      </c>
      <c r="AJ117" s="35">
        <v>0</v>
      </c>
      <c r="AK117" s="35">
        <v>0</v>
      </c>
      <c r="AL117" s="35">
        <v>0</v>
      </c>
      <c r="AM117" s="35">
        <v>0</v>
      </c>
      <c r="AN117" s="35">
        <v>0</v>
      </c>
      <c r="AO117" s="35">
        <v>0</v>
      </c>
      <c r="AP117" s="35">
        <v>0</v>
      </c>
      <c r="AQ117" s="35">
        <v>0</v>
      </c>
      <c r="AR117" s="35">
        <v>0</v>
      </c>
      <c r="AS117" s="35">
        <v>0</v>
      </c>
      <c r="AT117" s="35">
        <v>0</v>
      </c>
      <c r="AU117" s="35">
        <v>0</v>
      </c>
      <c r="AV117" s="35">
        <v>0</v>
      </c>
      <c r="AW117" s="35">
        <v>0</v>
      </c>
      <c r="AX117" s="35">
        <v>0</v>
      </c>
      <c r="AY117" s="35">
        <v>0</v>
      </c>
      <c r="AZ117" s="35">
        <v>0</v>
      </c>
      <c r="BA117" s="35">
        <v>0</v>
      </c>
      <c r="BB117" s="35">
        <v>0</v>
      </c>
      <c r="BC117" s="35">
        <v>0</v>
      </c>
      <c r="BD117" s="35">
        <v>0</v>
      </c>
      <c r="BE117" s="35">
        <v>0</v>
      </c>
      <c r="BL117" s="46"/>
      <c r="BM117" s="46"/>
      <c r="BN117" s="46"/>
      <c r="BO117" s="46"/>
    </row>
    <row r="118" spans="1:67" ht="15" hidden="1" outlineLevel="1" x14ac:dyDescent="0.25">
      <c r="A118" s="53" t="s">
        <v>173</v>
      </c>
      <c r="B118" s="35">
        <v>0</v>
      </c>
      <c r="C118" s="35">
        <v>0</v>
      </c>
      <c r="D118" s="35">
        <v>0</v>
      </c>
      <c r="E118" s="35">
        <v>0</v>
      </c>
      <c r="F118" s="35">
        <v>0</v>
      </c>
      <c r="G118" s="35">
        <v>0</v>
      </c>
      <c r="H118" s="35">
        <v>0</v>
      </c>
      <c r="I118" s="35">
        <v>0</v>
      </c>
      <c r="J118" s="35">
        <v>0</v>
      </c>
      <c r="K118" s="35">
        <v>0</v>
      </c>
      <c r="L118" s="35">
        <v>0</v>
      </c>
      <c r="M118" s="35">
        <v>0</v>
      </c>
      <c r="N118" s="35">
        <v>0</v>
      </c>
      <c r="O118" s="35">
        <v>0</v>
      </c>
      <c r="P118" s="35">
        <v>0</v>
      </c>
      <c r="Q118" s="35">
        <v>0</v>
      </c>
      <c r="R118" s="35">
        <v>0</v>
      </c>
      <c r="S118" s="35">
        <v>0</v>
      </c>
      <c r="T118" s="35">
        <v>0</v>
      </c>
      <c r="U118" s="35">
        <v>0</v>
      </c>
      <c r="V118" s="35">
        <v>0</v>
      </c>
      <c r="W118" s="35">
        <v>0</v>
      </c>
      <c r="X118" s="35">
        <v>0</v>
      </c>
      <c r="Y118" s="35">
        <v>0</v>
      </c>
      <c r="Z118" s="35">
        <v>0</v>
      </c>
      <c r="AA118" s="35">
        <v>0</v>
      </c>
      <c r="AB118" s="35">
        <v>0</v>
      </c>
      <c r="AC118" s="35">
        <v>0</v>
      </c>
      <c r="AD118" s="35">
        <v>0</v>
      </c>
      <c r="AE118" s="35">
        <v>0</v>
      </c>
      <c r="AF118" s="35">
        <v>0</v>
      </c>
      <c r="AG118" s="35">
        <v>0</v>
      </c>
      <c r="AH118" s="35">
        <v>0</v>
      </c>
      <c r="AI118" s="35">
        <v>0</v>
      </c>
      <c r="AJ118" s="35">
        <v>0</v>
      </c>
      <c r="AK118" s="35">
        <v>0</v>
      </c>
      <c r="AL118" s="35">
        <v>0</v>
      </c>
      <c r="AM118" s="35">
        <v>0</v>
      </c>
      <c r="AN118" s="35">
        <v>0</v>
      </c>
      <c r="AO118" s="35">
        <v>0</v>
      </c>
      <c r="AP118" s="35">
        <v>0</v>
      </c>
      <c r="AQ118" s="35">
        <v>0</v>
      </c>
      <c r="AR118" s="35">
        <v>0</v>
      </c>
      <c r="AS118" s="35">
        <v>0</v>
      </c>
      <c r="AT118" s="35">
        <v>0</v>
      </c>
      <c r="AU118" s="35">
        <v>0</v>
      </c>
      <c r="AV118" s="35">
        <v>0</v>
      </c>
      <c r="AW118" s="35">
        <v>0</v>
      </c>
      <c r="AX118" s="35">
        <v>0</v>
      </c>
      <c r="AY118" s="35">
        <v>0</v>
      </c>
      <c r="AZ118" s="35">
        <v>0</v>
      </c>
      <c r="BA118" s="35">
        <v>0</v>
      </c>
      <c r="BB118" s="35">
        <v>0</v>
      </c>
      <c r="BC118" s="35">
        <v>0</v>
      </c>
      <c r="BD118" s="35">
        <v>0</v>
      </c>
      <c r="BE118" s="35">
        <v>0</v>
      </c>
      <c r="BL118" s="46"/>
      <c r="BM118" s="46"/>
      <c r="BN118" s="46"/>
      <c r="BO118" s="46"/>
    </row>
    <row r="119" spans="1:67" ht="15" hidden="1" outlineLevel="1" x14ac:dyDescent="0.25">
      <c r="A119" s="53" t="s">
        <v>174</v>
      </c>
      <c r="B119" s="35">
        <v>0</v>
      </c>
      <c r="C119" s="35">
        <v>0</v>
      </c>
      <c r="D119" s="35">
        <v>0</v>
      </c>
      <c r="E119" s="35">
        <v>0</v>
      </c>
      <c r="F119" s="35">
        <v>0</v>
      </c>
      <c r="G119" s="35">
        <v>0</v>
      </c>
      <c r="H119" s="35">
        <v>0</v>
      </c>
      <c r="I119" s="35">
        <v>0</v>
      </c>
      <c r="J119" s="35">
        <v>0</v>
      </c>
      <c r="K119" s="35">
        <v>0</v>
      </c>
      <c r="L119" s="35">
        <v>0</v>
      </c>
      <c r="M119" s="35">
        <v>0</v>
      </c>
      <c r="N119" s="35">
        <v>0</v>
      </c>
      <c r="O119" s="35">
        <v>0</v>
      </c>
      <c r="P119" s="35">
        <v>0</v>
      </c>
      <c r="Q119" s="35">
        <v>0</v>
      </c>
      <c r="R119" s="35">
        <v>0</v>
      </c>
      <c r="S119" s="35">
        <v>0</v>
      </c>
      <c r="T119" s="35">
        <v>0</v>
      </c>
      <c r="U119" s="35">
        <v>0</v>
      </c>
      <c r="V119" s="35">
        <v>0</v>
      </c>
      <c r="W119" s="35">
        <v>0</v>
      </c>
      <c r="X119" s="35">
        <v>0</v>
      </c>
      <c r="Y119" s="35">
        <v>0</v>
      </c>
      <c r="Z119" s="35">
        <v>0</v>
      </c>
      <c r="AA119" s="35">
        <v>0</v>
      </c>
      <c r="AB119" s="35">
        <v>0</v>
      </c>
      <c r="AC119" s="35">
        <v>0</v>
      </c>
      <c r="AD119" s="35">
        <v>0</v>
      </c>
      <c r="AE119" s="35">
        <v>0</v>
      </c>
      <c r="AF119" s="35">
        <v>0</v>
      </c>
      <c r="AG119" s="35">
        <v>0</v>
      </c>
      <c r="AH119" s="35">
        <v>0</v>
      </c>
      <c r="AI119" s="35">
        <v>0</v>
      </c>
      <c r="AJ119" s="35">
        <v>0</v>
      </c>
      <c r="AK119" s="35">
        <v>0</v>
      </c>
      <c r="AL119" s="35">
        <v>0</v>
      </c>
      <c r="AM119" s="35">
        <v>0</v>
      </c>
      <c r="AN119" s="35">
        <v>0</v>
      </c>
      <c r="AO119" s="35">
        <v>0</v>
      </c>
      <c r="AP119" s="35">
        <v>0</v>
      </c>
      <c r="AQ119" s="35">
        <v>0</v>
      </c>
      <c r="AR119" s="35">
        <v>0</v>
      </c>
      <c r="AS119" s="35">
        <v>0</v>
      </c>
      <c r="AT119" s="35">
        <v>0</v>
      </c>
      <c r="AU119" s="35">
        <v>0</v>
      </c>
      <c r="AV119" s="35">
        <v>0</v>
      </c>
      <c r="AW119" s="35">
        <v>0</v>
      </c>
      <c r="AX119" s="35">
        <v>0</v>
      </c>
      <c r="AY119" s="35">
        <v>0</v>
      </c>
      <c r="AZ119" s="35">
        <v>0</v>
      </c>
      <c r="BA119" s="35">
        <v>0</v>
      </c>
      <c r="BB119" s="35">
        <v>0</v>
      </c>
      <c r="BC119" s="35">
        <v>0</v>
      </c>
      <c r="BD119" s="35">
        <v>0</v>
      </c>
      <c r="BE119" s="35">
        <v>0</v>
      </c>
      <c r="BL119" s="46"/>
      <c r="BM119" s="46"/>
      <c r="BN119" s="46"/>
      <c r="BO119" s="46"/>
    </row>
    <row r="120" spans="1:67" ht="15" collapsed="1" x14ac:dyDescent="0.25">
      <c r="BL120" s="46"/>
      <c r="BM120" s="46"/>
      <c r="BN120" s="46"/>
      <c r="BO120" s="46"/>
    </row>
    <row r="121" spans="1:67" ht="15" x14ac:dyDescent="0.25">
      <c r="BL121" s="46"/>
      <c r="BM121" s="46"/>
      <c r="BN121" s="46"/>
      <c r="BO121" s="46"/>
    </row>
    <row r="122" spans="1:67" ht="15" x14ac:dyDescent="0.25">
      <c r="BL122" s="46"/>
      <c r="BM122" s="46"/>
      <c r="BN122" s="46"/>
      <c r="BO122" s="46"/>
    </row>
    <row r="123" spans="1:67" x14ac:dyDescent="0.2">
      <c r="AL123" s="18">
        <v>3308</v>
      </c>
      <c r="AM123" s="18" t="s">
        <v>175</v>
      </c>
      <c r="AN123" s="18">
        <f>AL123*1000000*3.6</f>
        <v>11908800000</v>
      </c>
      <c r="AO123" s="18" t="s">
        <v>176</v>
      </c>
    </row>
    <row r="124" spans="1:67" x14ac:dyDescent="0.2">
      <c r="AL124" s="18">
        <f>AL123</f>
        <v>3308</v>
      </c>
      <c r="AM124" s="18" t="s">
        <v>175</v>
      </c>
      <c r="AN124" s="18">
        <f>AN123*0.000001</f>
        <v>11908.8</v>
      </c>
      <c r="AO124" s="18" t="s">
        <v>177</v>
      </c>
    </row>
    <row r="125" spans="1:67" x14ac:dyDescent="0.2">
      <c r="AL125" s="18">
        <f>AL124</f>
        <v>3308</v>
      </c>
      <c r="AM125" s="18" t="s">
        <v>175</v>
      </c>
      <c r="AN125" s="18">
        <f>AN124/1000</f>
        <v>11.908799999999999</v>
      </c>
      <c r="AO125" s="18" t="s">
        <v>178</v>
      </c>
      <c r="BG125" s="18" t="s">
        <v>179</v>
      </c>
    </row>
    <row r="126" spans="1:67" x14ac:dyDescent="0.2">
      <c r="BH126" s="54" t="s">
        <v>180</v>
      </c>
      <c r="BI126" s="18">
        <v>2014</v>
      </c>
      <c r="BJ126" s="18">
        <v>2015</v>
      </c>
      <c r="BK126" s="18">
        <v>2016</v>
      </c>
      <c r="BL126" s="54" t="s">
        <v>181</v>
      </c>
      <c r="BM126" s="18">
        <v>2018</v>
      </c>
    </row>
    <row r="127" spans="1:67" x14ac:dyDescent="0.2">
      <c r="BG127" s="18" t="s">
        <v>182</v>
      </c>
      <c r="BH127" s="18">
        <v>3798908</v>
      </c>
      <c r="BI127" s="18">
        <v>3548522</v>
      </c>
      <c r="BJ127" s="18">
        <v>3513511</v>
      </c>
      <c r="BK127" s="18">
        <v>3262750</v>
      </c>
      <c r="BL127" s="18">
        <v>3207544</v>
      </c>
      <c r="BM127" s="18">
        <v>3176930</v>
      </c>
    </row>
    <row r="128" spans="1:67" ht="15" x14ac:dyDescent="0.25">
      <c r="BG128" s="18" t="s">
        <v>183</v>
      </c>
      <c r="BH128" s="55">
        <f t="shared" ref="BH128:BM128" si="2">BH127*3.6/1000</f>
        <v>13676.068800000001</v>
      </c>
      <c r="BI128" s="55">
        <f t="shared" si="2"/>
        <v>12774.6792</v>
      </c>
      <c r="BJ128" s="55">
        <f t="shared" si="2"/>
        <v>12648.6396</v>
      </c>
      <c r="BK128" s="55">
        <f t="shared" si="2"/>
        <v>11745.9</v>
      </c>
      <c r="BL128" s="55">
        <f t="shared" si="2"/>
        <v>11547.1584</v>
      </c>
      <c r="BM128" s="55">
        <f t="shared" si="2"/>
        <v>11436.948</v>
      </c>
    </row>
    <row r="129" spans="56:65" ht="15" x14ac:dyDescent="0.25">
      <c r="BD129" s="18" t="s">
        <v>184</v>
      </c>
      <c r="BF129" s="56">
        <v>36.607594936708864</v>
      </c>
      <c r="BG129" s="18" t="s">
        <v>185</v>
      </c>
      <c r="BH129" s="55">
        <v>227934079</v>
      </c>
      <c r="BI129" s="55">
        <f>255.9*1000000</f>
        <v>255900000</v>
      </c>
      <c r="BJ129" s="55">
        <f>249.7*1000000</f>
        <v>249700000</v>
      </c>
      <c r="BK129" s="18">
        <v>232406116</v>
      </c>
      <c r="BL129" s="18">
        <v>238948240</v>
      </c>
      <c r="BM129" s="18">
        <f>236.7*1000000</f>
        <v>236700000</v>
      </c>
    </row>
    <row r="130" spans="56:65" ht="15" x14ac:dyDescent="0.25">
      <c r="BG130" s="18" t="s">
        <v>186</v>
      </c>
      <c r="BH130" s="55">
        <f t="shared" ref="BH130:BM130" si="3">$BF$129*BH129*0.000001</f>
        <v>8344.1184363037992</v>
      </c>
      <c r="BI130" s="55">
        <f t="shared" si="3"/>
        <v>9367.8835443037988</v>
      </c>
      <c r="BJ130" s="55">
        <f t="shared" si="3"/>
        <v>9140.9164556962023</v>
      </c>
      <c r="BK130" s="55">
        <f t="shared" si="3"/>
        <v>8507.8289553417726</v>
      </c>
      <c r="BL130" s="55">
        <f t="shared" si="3"/>
        <v>8747.3203807594946</v>
      </c>
      <c r="BM130" s="55">
        <f t="shared" si="3"/>
        <v>8665.0177215189869</v>
      </c>
    </row>
    <row r="132" spans="56:65" x14ac:dyDescent="0.2">
      <c r="BF132" s="18" t="s">
        <v>187</v>
      </c>
      <c r="BG132" s="18" t="s">
        <v>188</v>
      </c>
      <c r="BH132" s="18">
        <v>0.12</v>
      </c>
      <c r="BI132" s="18">
        <v>0.06</v>
      </c>
      <c r="BJ132" s="57">
        <f>BI132</f>
        <v>0.06</v>
      </c>
      <c r="BK132" s="57">
        <f>AVERAGE(BJ132,BL132)</f>
        <v>6.5000000000000002E-2</v>
      </c>
      <c r="BL132" s="18">
        <v>7.0000000000000007E-2</v>
      </c>
      <c r="BM132" s="18">
        <v>6.4000000000000001E-2</v>
      </c>
    </row>
    <row r="133" spans="56:65" x14ac:dyDescent="0.2">
      <c r="BF133" s="18" t="s">
        <v>187</v>
      </c>
      <c r="BG133" s="18" t="s">
        <v>189</v>
      </c>
      <c r="BH133" s="18">
        <v>0.68</v>
      </c>
      <c r="BI133" s="18">
        <v>0.75</v>
      </c>
      <c r="BJ133" s="57">
        <f>BI133</f>
        <v>0.75</v>
      </c>
      <c r="BK133" s="57">
        <f>AVERAGE(BJ133,BL133)</f>
        <v>0.74</v>
      </c>
      <c r="BL133" s="18">
        <v>0.73</v>
      </c>
      <c r="BM133" s="18">
        <v>0.74399999999999999</v>
      </c>
    </row>
    <row r="134" spans="56:65" x14ac:dyDescent="0.2">
      <c r="BF134" s="18" t="s">
        <v>190</v>
      </c>
      <c r="BG134" s="18" t="s">
        <v>189</v>
      </c>
      <c r="BH134" s="18">
        <v>0.62</v>
      </c>
      <c r="BI134" s="18">
        <v>0.73</v>
      </c>
      <c r="BJ134" s="57">
        <f>BI134</f>
        <v>0.73</v>
      </c>
      <c r="BK134" s="57">
        <f>AVERAGE(BJ134,BL134)</f>
        <v>0.73499999999999999</v>
      </c>
      <c r="BL134" s="18">
        <v>0.74</v>
      </c>
      <c r="BM134" s="18">
        <v>0.74299999999999999</v>
      </c>
    </row>
    <row r="136" spans="56:65" ht="15" x14ac:dyDescent="0.25">
      <c r="BF136" s="18" t="s">
        <v>191</v>
      </c>
      <c r="BG136" s="18" t="s">
        <v>188</v>
      </c>
      <c r="BH136" s="55">
        <f t="shared" ref="BH136:BM137" si="4">BH132*BH$128</f>
        <v>1641.128256</v>
      </c>
      <c r="BI136" s="55">
        <f t="shared" si="4"/>
        <v>766.48075200000005</v>
      </c>
      <c r="BJ136" s="55">
        <f t="shared" si="4"/>
        <v>758.91837599999997</v>
      </c>
      <c r="BK136" s="55">
        <f t="shared" si="4"/>
        <v>763.48350000000005</v>
      </c>
      <c r="BL136" s="55">
        <f t="shared" si="4"/>
        <v>808.30108800000005</v>
      </c>
      <c r="BM136" s="55">
        <f t="shared" si="4"/>
        <v>731.96467200000006</v>
      </c>
    </row>
    <row r="137" spans="56:65" ht="15" x14ac:dyDescent="0.25">
      <c r="BF137" s="18" t="s">
        <v>191</v>
      </c>
      <c r="BG137" s="18" t="s">
        <v>189</v>
      </c>
      <c r="BH137" s="55">
        <f t="shared" si="4"/>
        <v>9299.7267840000004</v>
      </c>
      <c r="BI137" s="55">
        <f t="shared" si="4"/>
        <v>9581.0094000000008</v>
      </c>
      <c r="BJ137" s="55">
        <f t="shared" si="4"/>
        <v>9486.4796999999999</v>
      </c>
      <c r="BK137" s="55">
        <f t="shared" si="4"/>
        <v>8691.9660000000003</v>
      </c>
      <c r="BL137" s="55">
        <f t="shared" si="4"/>
        <v>8429.4256320000004</v>
      </c>
      <c r="BM137" s="55">
        <f t="shared" si="4"/>
        <v>8509.0893120000001</v>
      </c>
    </row>
    <row r="138" spans="56:65" ht="15" x14ac:dyDescent="0.25">
      <c r="BF138" s="18" t="s">
        <v>192</v>
      </c>
      <c r="BG138" s="18" t="s">
        <v>189</v>
      </c>
      <c r="BH138" s="55">
        <f t="shared" ref="BH138:BM138" si="5">BH134*BH$130</f>
        <v>5173.3534305083558</v>
      </c>
      <c r="BI138" s="55">
        <f t="shared" si="5"/>
        <v>6838.5549873417731</v>
      </c>
      <c r="BJ138" s="55">
        <f t="shared" si="5"/>
        <v>6672.8690126582278</v>
      </c>
      <c r="BK138" s="55">
        <f t="shared" si="5"/>
        <v>6253.2542821762027</v>
      </c>
      <c r="BL138" s="55">
        <f t="shared" si="5"/>
        <v>6473.0170817620256</v>
      </c>
      <c r="BM138" s="55">
        <f t="shared" si="5"/>
        <v>6438.1081670886069</v>
      </c>
    </row>
    <row r="140" spans="56:65" x14ac:dyDescent="0.2">
      <c r="BG140" s="18" t="s">
        <v>193</v>
      </c>
      <c r="BH140" s="58">
        <f t="shared" ref="BH140:BM142" si="6">BH136/SUM(BH$136:BH$138)</f>
        <v>0.10184355371866596</v>
      </c>
      <c r="BI140" s="58">
        <f t="shared" si="6"/>
        <v>4.4599018900828756E-2</v>
      </c>
      <c r="BJ140" s="58">
        <f t="shared" si="6"/>
        <v>4.485792617074643E-2</v>
      </c>
      <c r="BK140" s="58">
        <f t="shared" si="6"/>
        <v>4.8602577945755308E-2</v>
      </c>
      <c r="BL140" s="58">
        <f t="shared" si="6"/>
        <v>5.1448938267922469E-2</v>
      </c>
      <c r="BM140" s="58">
        <f t="shared" si="6"/>
        <v>4.6683914927761597E-2</v>
      </c>
    </row>
    <row r="141" spans="56:65" x14ac:dyDescent="0.2">
      <c r="BG141" s="18" t="s">
        <v>194</v>
      </c>
      <c r="BH141" s="58">
        <f t="shared" si="6"/>
        <v>0.57711347107244049</v>
      </c>
      <c r="BI141" s="58">
        <f t="shared" si="6"/>
        <v>0.55748773626035952</v>
      </c>
      <c r="BJ141" s="58">
        <f t="shared" si="6"/>
        <v>0.56072407713433048</v>
      </c>
      <c r="BK141" s="58">
        <f t="shared" si="6"/>
        <v>0.5533216566132142</v>
      </c>
      <c r="BL141" s="58">
        <f t="shared" si="6"/>
        <v>0.53653892765119149</v>
      </c>
      <c r="BM141" s="58">
        <f t="shared" si="6"/>
        <v>0.54270051103522854</v>
      </c>
    </row>
    <row r="142" spans="56:65" x14ac:dyDescent="0.2">
      <c r="BG142" s="18" t="s">
        <v>195</v>
      </c>
      <c r="BH142" s="58">
        <f t="shared" si="6"/>
        <v>0.32104297520889352</v>
      </c>
      <c r="BI142" s="58">
        <f t="shared" si="6"/>
        <v>0.39791324483881169</v>
      </c>
      <c r="BJ142" s="58">
        <f t="shared" si="6"/>
        <v>0.39441799669492317</v>
      </c>
      <c r="BK142" s="58">
        <f t="shared" si="6"/>
        <v>0.39807576544103052</v>
      </c>
      <c r="BL142" s="58">
        <f t="shared" si="6"/>
        <v>0.41201213408088605</v>
      </c>
      <c r="BM142" s="58">
        <f t="shared" si="6"/>
        <v>0.41061557403700988</v>
      </c>
    </row>
    <row r="146" spans="41:65" x14ac:dyDescent="0.2">
      <c r="BD146" s="18" t="s">
        <v>196</v>
      </c>
      <c r="BF146" s="18" t="s">
        <v>192</v>
      </c>
      <c r="BG146" s="18" t="s">
        <v>189</v>
      </c>
      <c r="BH146" s="59">
        <f t="shared" ref="BH146:BM146" si="7">$BF$147*BH138*0.001</f>
        <v>383.34548920066914</v>
      </c>
      <c r="BI146" s="59">
        <f t="shared" si="7"/>
        <v>506.73692456202537</v>
      </c>
      <c r="BJ146" s="59">
        <f t="shared" si="7"/>
        <v>494.45959383797464</v>
      </c>
      <c r="BK146" s="59">
        <f t="shared" si="7"/>
        <v>463.36614230925659</v>
      </c>
      <c r="BL146" s="59">
        <f t="shared" si="7"/>
        <v>479.65056575856607</v>
      </c>
      <c r="BM146" s="59">
        <f t="shared" si="7"/>
        <v>477.0638151812658</v>
      </c>
    </row>
    <row r="147" spans="41:65" x14ac:dyDescent="0.2">
      <c r="AO147" s="60" t="s">
        <v>197</v>
      </c>
      <c r="BD147" s="61" t="s">
        <v>198</v>
      </c>
      <c r="BF147" s="62">
        <f>74100/1000</f>
        <v>74.099999999999994</v>
      </c>
    </row>
  </sheetData>
  <hyperlinks>
    <hyperlink ref="AO147" r:id="rId1" xr:uid="{502A2A31-0523-4F54-A357-E0A0834F6118}"/>
  </hyperlinks>
  <pageMargins left="0.7" right="0.7" top="0.75" bottom="0.75" header="0.3" footer="0.3"/>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77BE7D-B3BF-4C1F-9E95-DF182B5A7F0C}">
  <sheetPr>
    <tabColor theme="5" tint="0.79998168889431442"/>
  </sheetPr>
  <dimension ref="A1:BY239"/>
  <sheetViews>
    <sheetView workbookViewId="0"/>
  </sheetViews>
  <sheetFormatPr defaultColWidth="8.85546875" defaultRowHeight="15" x14ac:dyDescent="0.25"/>
  <cols>
    <col min="1" max="1" width="12" style="63" customWidth="1"/>
    <col min="2" max="2" width="19" style="63" customWidth="1"/>
    <col min="3" max="3" width="12.5703125" style="63" customWidth="1"/>
    <col min="4" max="4" width="11.42578125" style="63" customWidth="1"/>
    <col min="5" max="5" width="19.42578125" style="63" customWidth="1"/>
    <col min="6" max="6" width="12.5703125" style="63" customWidth="1"/>
    <col min="7" max="7" width="11.5703125" style="63" customWidth="1"/>
    <col min="8" max="8" width="14" style="63" customWidth="1"/>
    <col min="9" max="25" width="9.140625" style="63" customWidth="1"/>
    <col min="26" max="26" width="9.5703125" style="63" bestFit="1" customWidth="1"/>
    <col min="27" max="27" width="9.5703125" style="63" customWidth="1"/>
    <col min="28" max="28" width="9.5703125" style="63" bestFit="1" customWidth="1"/>
    <col min="29" max="30" width="10.5703125" style="63" customWidth="1"/>
    <col min="31" max="32" width="12.140625" style="63" customWidth="1"/>
    <col min="33" max="33" width="15.140625" style="63" customWidth="1"/>
    <col min="34" max="36" width="10.5703125" style="63" customWidth="1"/>
    <col min="37" max="37" width="13.5703125" style="63" bestFit="1" customWidth="1"/>
    <col min="38" max="38" width="9" style="63" bestFit="1" customWidth="1"/>
    <col min="39" max="39" width="16" style="63" customWidth="1"/>
    <col min="40" max="40" width="11.140625" style="63" bestFit="1" customWidth="1"/>
    <col min="41" max="41" width="12.42578125" style="63" bestFit="1" customWidth="1"/>
    <col min="42" max="42" width="12.42578125" style="63" customWidth="1"/>
    <col min="43" max="43" width="12.42578125" style="63" bestFit="1" customWidth="1"/>
    <col min="44" max="44" width="12.42578125" style="63" customWidth="1"/>
    <col min="45" max="45" width="10.85546875" style="63" customWidth="1"/>
    <col min="46" max="47" width="14.5703125" style="63" bestFit="1" customWidth="1"/>
    <col min="48" max="55" width="12.42578125" style="63" customWidth="1"/>
    <col min="56" max="56" width="12.5703125" style="63" customWidth="1"/>
    <col min="57" max="57" width="11.42578125" style="63" bestFit="1" customWidth="1"/>
    <col min="58" max="58" width="10.42578125" style="63" bestFit="1" customWidth="1"/>
    <col min="59" max="59" width="11.5703125" style="63" customWidth="1"/>
    <col min="60" max="16384" width="8.85546875" style="63"/>
  </cols>
  <sheetData>
    <row r="1" spans="1:61" ht="20.25" thickBot="1" x14ac:dyDescent="0.35">
      <c r="C1" s="64" t="s">
        <v>199</v>
      </c>
      <c r="D1" s="64"/>
      <c r="E1" s="64"/>
      <c r="F1" s="64"/>
      <c r="G1" s="64"/>
      <c r="H1" s="64"/>
      <c r="I1" s="64"/>
      <c r="J1" s="64"/>
      <c r="AT1" s="63">
        <f>8.8/1.43</f>
        <v>6.1538461538461542</v>
      </c>
    </row>
    <row r="2" spans="1:61" ht="15.75" thickTop="1" x14ac:dyDescent="0.25"/>
    <row r="3" spans="1:61" ht="20.25" thickBot="1" x14ac:dyDescent="0.35">
      <c r="C3" s="64" t="s">
        <v>200</v>
      </c>
      <c r="AG3" s="65"/>
      <c r="AH3" s="65"/>
      <c r="AI3" s="65"/>
      <c r="AJ3" s="65"/>
    </row>
    <row r="4" spans="1:61" ht="15.75" thickTop="1" x14ac:dyDescent="0.25">
      <c r="AG4" s="65"/>
      <c r="AH4" s="65"/>
      <c r="AI4" s="65"/>
      <c r="AJ4" s="65"/>
    </row>
    <row r="5" spans="1:61" x14ac:dyDescent="0.25">
      <c r="AG5" s="65"/>
      <c r="AH5" s="65"/>
      <c r="AI5" s="65"/>
      <c r="AJ5" s="65"/>
    </row>
    <row r="6" spans="1:61" x14ac:dyDescent="0.25">
      <c r="AG6" s="65"/>
      <c r="AH6" s="65"/>
      <c r="AI6" s="65"/>
      <c r="AJ6" s="65"/>
    </row>
    <row r="7" spans="1:61" x14ac:dyDescent="0.25">
      <c r="AG7" s="65"/>
      <c r="AH7" s="65"/>
      <c r="AI7" s="65"/>
      <c r="AJ7" s="65"/>
    </row>
    <row r="8" spans="1:61" x14ac:dyDescent="0.25">
      <c r="AG8" s="65"/>
      <c r="AH8" s="65"/>
      <c r="AI8" s="65"/>
      <c r="AJ8" s="65"/>
    </row>
    <row r="9" spans="1:61" x14ac:dyDescent="0.25">
      <c r="AG9" s="65"/>
      <c r="AH9" s="65"/>
      <c r="AI9" s="65"/>
      <c r="AJ9" s="65"/>
    </row>
    <row r="10" spans="1:61" x14ac:dyDescent="0.25">
      <c r="X10" s="66"/>
      <c r="Y10" s="67"/>
      <c r="AG10" s="65"/>
      <c r="AH10" s="65"/>
      <c r="AI10" s="65"/>
      <c r="AJ10" s="65"/>
    </row>
    <row r="11" spans="1:61" x14ac:dyDescent="0.25">
      <c r="X11" s="66"/>
      <c r="Y11" s="67"/>
      <c r="AA11" s="68"/>
    </row>
    <row r="12" spans="1:61" ht="15.75" thickBot="1" x14ac:dyDescent="0.3">
      <c r="C12" s="69" t="s">
        <v>201</v>
      </c>
      <c r="D12" s="69"/>
      <c r="E12" s="69"/>
      <c r="F12" s="69"/>
      <c r="G12" s="69"/>
      <c r="H12" s="69"/>
      <c r="I12" s="69"/>
      <c r="J12" s="69"/>
      <c r="AI12" s="70">
        <v>1</v>
      </c>
      <c r="AJ12" s="70">
        <v>1</v>
      </c>
      <c r="AK12" s="71">
        <v>0.8</v>
      </c>
      <c r="AL12" s="71">
        <v>0</v>
      </c>
      <c r="AM12" s="71">
        <v>0</v>
      </c>
      <c r="AU12" s="72">
        <v>0.8</v>
      </c>
      <c r="AV12" s="70">
        <f>AL12</f>
        <v>0</v>
      </c>
      <c r="AW12" s="70">
        <f>AM12</f>
        <v>0</v>
      </c>
    </row>
    <row r="13" spans="1:61" x14ac:dyDescent="0.25">
      <c r="F13" s="18" t="s">
        <v>202</v>
      </c>
      <c r="O13" s="63" t="s">
        <v>203</v>
      </c>
      <c r="P13" s="63" t="s">
        <v>203</v>
      </c>
      <c r="Q13" s="63" t="s">
        <v>203</v>
      </c>
      <c r="R13" s="63" t="s">
        <v>203</v>
      </c>
      <c r="S13" s="63" t="s">
        <v>203</v>
      </c>
      <c r="T13" s="63" t="s">
        <v>203</v>
      </c>
      <c r="U13" s="63" t="s">
        <v>203</v>
      </c>
      <c r="Y13" s="63" t="s">
        <v>204</v>
      </c>
      <c r="Z13" s="63" t="s">
        <v>204</v>
      </c>
      <c r="AA13" s="63" t="s">
        <v>204</v>
      </c>
      <c r="AB13" s="63" t="s">
        <v>204</v>
      </c>
      <c r="AC13" s="63" t="s">
        <v>204</v>
      </c>
      <c r="AD13" s="63" t="s">
        <v>204</v>
      </c>
      <c r="AE13" s="63" t="s">
        <v>204</v>
      </c>
      <c r="AF13" s="63" t="s">
        <v>205</v>
      </c>
      <c r="AG13" s="63" t="s">
        <v>205</v>
      </c>
      <c r="AH13" s="63" t="s">
        <v>205</v>
      </c>
      <c r="AI13" s="70" t="s">
        <v>205</v>
      </c>
      <c r="AJ13" s="70" t="s">
        <v>205</v>
      </c>
      <c r="AK13" s="71" t="s">
        <v>205</v>
      </c>
      <c r="AL13" s="71" t="s">
        <v>205</v>
      </c>
      <c r="AM13" s="71" t="s">
        <v>205</v>
      </c>
      <c r="AN13" s="18" t="s">
        <v>206</v>
      </c>
      <c r="AQ13" s="63" t="s">
        <v>207</v>
      </c>
      <c r="AU13" s="70" t="s">
        <v>205</v>
      </c>
      <c r="AV13" s="70" t="s">
        <v>205</v>
      </c>
      <c r="AW13" s="70" t="s">
        <v>205</v>
      </c>
    </row>
    <row r="14" spans="1:61" ht="44.1" customHeight="1" x14ac:dyDescent="0.25">
      <c r="A14" s="63" t="s">
        <v>208</v>
      </c>
      <c r="B14" s="63" t="s">
        <v>209</v>
      </c>
      <c r="C14" s="63" t="s">
        <v>210</v>
      </c>
      <c r="D14" s="63" t="s">
        <v>211</v>
      </c>
      <c r="E14" s="63" t="s">
        <v>212</v>
      </c>
      <c r="H14" s="73" t="s">
        <v>213</v>
      </c>
      <c r="I14" s="74" t="s">
        <v>214</v>
      </c>
      <c r="J14" s="74"/>
      <c r="O14" s="74" t="s">
        <v>215</v>
      </c>
      <c r="V14" s="74" t="s">
        <v>216</v>
      </c>
      <c r="X14" s="74" t="s">
        <v>217</v>
      </c>
      <c r="AF14" s="74" t="s">
        <v>218</v>
      </c>
      <c r="AI14" s="70"/>
      <c r="AJ14" s="70">
        <f>AK36/AJ36</f>
        <v>0.60806132052863948</v>
      </c>
      <c r="AK14" s="71"/>
      <c r="AL14" s="71"/>
      <c r="AM14" s="71"/>
      <c r="AN14" s="74" t="s">
        <v>219</v>
      </c>
      <c r="AQ14" s="74" t="s">
        <v>220</v>
      </c>
      <c r="AU14" s="70"/>
      <c r="AV14" s="70"/>
      <c r="AW14" s="70"/>
      <c r="AZ14" s="74" t="s">
        <v>221</v>
      </c>
    </row>
    <row r="15" spans="1:61" x14ac:dyDescent="0.25">
      <c r="A15" s="63" t="s">
        <v>222</v>
      </c>
      <c r="F15" s="63" t="s">
        <v>223</v>
      </c>
      <c r="G15" s="63" t="s">
        <v>224</v>
      </c>
      <c r="N15" s="63" t="s">
        <v>225</v>
      </c>
      <c r="P15" s="63">
        <f>1/O17</f>
        <v>1.1257757329217524</v>
      </c>
      <c r="V15" s="63" t="s">
        <v>226</v>
      </c>
      <c r="W15" s="63" t="s">
        <v>226</v>
      </c>
      <c r="X15" s="63" t="s">
        <v>227</v>
      </c>
      <c r="AF15" s="75" t="s">
        <v>228</v>
      </c>
      <c r="AG15" s="75"/>
      <c r="AI15" s="70"/>
      <c r="AJ15" s="70">
        <f>AK34/AJ34</f>
        <v>0.62733364092628252</v>
      </c>
      <c r="AK15" s="71"/>
      <c r="AL15" s="71"/>
      <c r="AM15" s="71"/>
      <c r="AN15" s="76" t="s">
        <v>229</v>
      </c>
      <c r="AQ15" s="67"/>
      <c r="AU15" s="70"/>
      <c r="AV15" s="70"/>
      <c r="AW15" s="70"/>
      <c r="AZ15" s="76" t="s">
        <v>229</v>
      </c>
      <c r="BA15" s="76" t="s">
        <v>230</v>
      </c>
      <c r="BC15" s="76" t="s">
        <v>231</v>
      </c>
      <c r="BF15" s="76" t="s">
        <v>230</v>
      </c>
      <c r="BG15" s="76"/>
      <c r="BH15" s="76"/>
    </row>
    <row r="16" spans="1:61" x14ac:dyDescent="0.25">
      <c r="F16" s="63" t="s">
        <v>232</v>
      </c>
      <c r="H16" s="63">
        <f>I16</f>
        <v>2012</v>
      </c>
      <c r="I16" s="63">
        <v>2012</v>
      </c>
      <c r="J16" s="63">
        <v>2017</v>
      </c>
      <c r="K16" s="63">
        <v>2020</v>
      </c>
      <c r="L16" s="63">
        <v>2030</v>
      </c>
      <c r="M16" s="63">
        <v>2040</v>
      </c>
      <c r="N16" s="63">
        <v>2050</v>
      </c>
      <c r="P16" s="63">
        <v>2012</v>
      </c>
      <c r="Q16" s="63">
        <v>2017</v>
      </c>
      <c r="R16" s="63">
        <v>2020</v>
      </c>
      <c r="S16" s="63">
        <v>2030</v>
      </c>
      <c r="T16" s="63">
        <v>2040</v>
      </c>
      <c r="U16" s="63">
        <v>2050</v>
      </c>
      <c r="V16" s="63">
        <v>2012</v>
      </c>
      <c r="W16" s="63">
        <v>2012</v>
      </c>
      <c r="X16" s="63">
        <f t="shared" ref="X16:X41" si="0">Z16</f>
        <v>2012</v>
      </c>
      <c r="Y16" s="63" t="s">
        <v>233</v>
      </c>
      <c r="Z16" s="77">
        <v>2012</v>
      </c>
      <c r="AA16" s="77">
        <v>2017</v>
      </c>
      <c r="AB16" s="63">
        <v>2020</v>
      </c>
      <c r="AC16" s="63">
        <v>2030</v>
      </c>
      <c r="AD16" s="63">
        <v>2040</v>
      </c>
      <c r="AE16" s="63">
        <v>2050</v>
      </c>
      <c r="AF16" s="63">
        <v>2006</v>
      </c>
      <c r="AG16" s="78">
        <v>2010</v>
      </c>
      <c r="AH16" s="78">
        <v>2012</v>
      </c>
      <c r="AI16" s="79">
        <v>2017</v>
      </c>
      <c r="AJ16" s="79">
        <v>2020</v>
      </c>
      <c r="AK16" s="80">
        <v>2030</v>
      </c>
      <c r="AL16" s="80">
        <v>2040</v>
      </c>
      <c r="AM16" s="80">
        <v>2050</v>
      </c>
      <c r="AN16" s="214" t="e">
        <f>#REF!</f>
        <v>#REF!</v>
      </c>
      <c r="AO16" s="78">
        <v>2017</v>
      </c>
      <c r="AQ16" s="67">
        <v>20.170000000000002</v>
      </c>
      <c r="AR16" s="63">
        <v>2017</v>
      </c>
      <c r="AS16" s="63">
        <v>2006</v>
      </c>
      <c r="AT16" s="55">
        <f>AJ16</f>
        <v>2020</v>
      </c>
      <c r="AU16" s="79">
        <f>AK16</f>
        <v>2030</v>
      </c>
      <c r="AV16" s="79">
        <f>AL16</f>
        <v>2040</v>
      </c>
      <c r="AW16" s="79">
        <f>AM16</f>
        <v>2050</v>
      </c>
      <c r="BC16" s="63">
        <v>2006</v>
      </c>
      <c r="BD16" s="63">
        <v>2012</v>
      </c>
      <c r="BF16" s="65"/>
      <c r="BG16" s="65"/>
      <c r="BH16" s="63">
        <v>2006</v>
      </c>
      <c r="BI16" s="63">
        <v>2012</v>
      </c>
    </row>
    <row r="17" spans="1:77" x14ac:dyDescent="0.25">
      <c r="A17" s="63" t="str">
        <f t="shared" ref="A17:A48" si="1">RIGHT(D17,3)&amp;C17</f>
        <v>BUSODS</v>
      </c>
      <c r="B17" s="63" t="str">
        <f>D17&amp;C17&amp;"-E"</f>
        <v>TPPUBUSODS-E</v>
      </c>
      <c r="C17" s="63" t="s">
        <v>234</v>
      </c>
      <c r="D17" s="63" t="s">
        <v>235</v>
      </c>
      <c r="E17" s="63" t="s">
        <v>236</v>
      </c>
      <c r="F17" s="81">
        <f t="shared" ref="F17:F48" si="2">H17*0.000001</f>
        <v>0.06</v>
      </c>
      <c r="G17" s="82">
        <f t="shared" ref="G17:G48" si="3">I17</f>
        <v>53296.583187381897</v>
      </c>
      <c r="H17" s="63">
        <v>60000</v>
      </c>
      <c r="I17" s="55">
        <v>53296.583187381897</v>
      </c>
      <c r="J17" s="83">
        <v>25519.3702773902</v>
      </c>
      <c r="K17" s="55">
        <v>20224.127065240998</v>
      </c>
      <c r="L17" s="55">
        <v>9102.8605766817</v>
      </c>
      <c r="M17" s="55">
        <v>3988.6494324368</v>
      </c>
      <c r="N17" s="55">
        <v>1718.2224683684799</v>
      </c>
      <c r="O17" s="84">
        <f t="shared" ref="O17:O41" si="4">P17</f>
        <v>0.88827638645636497</v>
      </c>
      <c r="P17" s="84">
        <f>I17/$H17</f>
        <v>0.88827638645636497</v>
      </c>
      <c r="Q17" s="84">
        <f t="shared" ref="P17:U41" si="5">J17/$H17</f>
        <v>0.42532283795650333</v>
      </c>
      <c r="R17" s="84">
        <f t="shared" si="5"/>
        <v>0.33706878442068333</v>
      </c>
      <c r="S17" s="84">
        <f t="shared" si="5"/>
        <v>0.15171434294469499</v>
      </c>
      <c r="T17" s="84">
        <f t="shared" si="5"/>
        <v>6.6477490540613332E-2</v>
      </c>
      <c r="U17" s="84">
        <f t="shared" si="5"/>
        <v>2.8637041139474666E-2</v>
      </c>
      <c r="V17" s="85">
        <f t="shared" ref="V17:V48" si="6">W17</f>
        <v>40.788494972334703</v>
      </c>
      <c r="W17" s="86">
        <v>40.788494972334703</v>
      </c>
      <c r="X17" s="85">
        <f t="shared" si="0"/>
        <v>6.1451225052252298E-2</v>
      </c>
      <c r="Y17" s="87">
        <f t="shared" ref="Y17:Y41" si="7">Z17</f>
        <v>6.1451225052252298E-2</v>
      </c>
      <c r="Z17" s="86">
        <v>6.1451225052252298E-2</v>
      </c>
      <c r="AA17" s="88">
        <v>6.4348339348895098E-2</v>
      </c>
      <c r="AB17" s="86">
        <v>6.4532835825940396E-2</v>
      </c>
      <c r="AC17" s="86">
        <v>6.5227894002483106E-2</v>
      </c>
      <c r="AD17" s="86">
        <v>6.6011283101863896E-2</v>
      </c>
      <c r="AE17" s="86">
        <v>6.6777008175099004E-2</v>
      </c>
      <c r="AF17" s="78">
        <v>21.5647607151075</v>
      </c>
      <c r="AG17" s="78">
        <v>26.527095234144401</v>
      </c>
      <c r="AH17" s="78">
        <v>28.126256176370301</v>
      </c>
      <c r="AI17" s="86">
        <v>25.1952522652347</v>
      </c>
      <c r="AJ17" s="86">
        <v>23.083651962362801</v>
      </c>
      <c r="AK17" s="229">
        <v>15.5161252325553</v>
      </c>
      <c r="AL17" s="80">
        <f t="shared" ref="AL17:AM42" si="8">AV17*AV$12</f>
        <v>0</v>
      </c>
      <c r="AM17" s="80">
        <f t="shared" si="8"/>
        <v>0</v>
      </c>
      <c r="AN17" s="215">
        <v>9.9920000000000009</v>
      </c>
      <c r="AO17" s="78">
        <f t="shared" ref="AO17:AO41" si="9">AN17</f>
        <v>9.9920000000000009</v>
      </c>
      <c r="AP17" s="63" t="str">
        <f t="shared" ref="AP17:AP41" si="10">E17</f>
        <v>BusDiesel</v>
      </c>
      <c r="AQ17" s="89">
        <f>AR17/AR17</f>
        <v>1</v>
      </c>
      <c r="AR17" s="55">
        <v>1083</v>
      </c>
      <c r="AS17" s="90">
        <f t="shared" ref="AS17:AS41" si="11">BC17</f>
        <v>1211</v>
      </c>
      <c r="AT17" s="55">
        <f>AJ17</f>
        <v>23.083651962362801</v>
      </c>
      <c r="AU17" s="79">
        <v>28.053995016672602</v>
      </c>
      <c r="AV17" s="79">
        <v>21.637905752302</v>
      </c>
      <c r="AW17" s="79">
        <v>14.5010359456413</v>
      </c>
      <c r="AY17" s="86">
        <f>AU17-AK17</f>
        <v>12.537869784117301</v>
      </c>
      <c r="AZ17" s="91">
        <f t="shared" ref="AZ17:AZ41" si="12">AS17-BC17</f>
        <v>0</v>
      </c>
      <c r="BA17" s="90">
        <f t="shared" ref="BA17:BA41" si="13">BH17-AS17</f>
        <v>0</v>
      </c>
      <c r="BC17" s="65">
        <v>1211</v>
      </c>
      <c r="BD17" s="65">
        <v>1063</v>
      </c>
      <c r="BF17" s="65" t="s">
        <v>139</v>
      </c>
      <c r="BG17" s="65" t="s">
        <v>237</v>
      </c>
      <c r="BH17" s="90">
        <v>1211</v>
      </c>
      <c r="BI17" s="63">
        <f t="array" ref="BI17">INDEX($BQ$22:$BQ$38,MATCH($BF17&amp;$BG17,$BN$22:$BN$38&amp;$BO$22:$BO$38,0))</f>
        <v>1063</v>
      </c>
      <c r="BX17" s="65"/>
      <c r="BY17" s="65"/>
    </row>
    <row r="18" spans="1:77" x14ac:dyDescent="0.25">
      <c r="A18" s="63" t="str">
        <f t="shared" si="1"/>
        <v>CARODS</v>
      </c>
      <c r="B18" s="63" t="str">
        <f>D18&amp;C18&amp;"-E"</f>
        <v>TPPRCARODS-E</v>
      </c>
      <c r="C18" s="63" t="s">
        <v>234</v>
      </c>
      <c r="D18" s="63" t="s">
        <v>238</v>
      </c>
      <c r="E18" s="63" t="s">
        <v>239</v>
      </c>
      <c r="F18" s="81">
        <f t="shared" si="2"/>
        <v>2.2499999999999999E-2</v>
      </c>
      <c r="G18" s="82">
        <f t="shared" si="3"/>
        <v>18220.3496192737</v>
      </c>
      <c r="H18" s="63">
        <v>22500</v>
      </c>
      <c r="I18" s="55">
        <v>18220.3496192737</v>
      </c>
      <c r="J18" s="83">
        <v>16729.5435106636</v>
      </c>
      <c r="K18" s="55">
        <v>14965.0729005177</v>
      </c>
      <c r="L18" s="55">
        <v>10532.204599749301</v>
      </c>
      <c r="M18" s="55">
        <v>7571.5770122505701</v>
      </c>
      <c r="N18" s="55">
        <v>5398.4896574824297</v>
      </c>
      <c r="O18" s="84">
        <f t="shared" si="4"/>
        <v>0.80979331641216445</v>
      </c>
      <c r="P18" s="84">
        <f t="shared" si="5"/>
        <v>0.80979331641216445</v>
      </c>
      <c r="Q18" s="84">
        <f t="shared" si="5"/>
        <v>0.74353526714060447</v>
      </c>
      <c r="R18" s="84">
        <f t="shared" si="5"/>
        <v>0.66511435113411999</v>
      </c>
      <c r="S18" s="84">
        <f t="shared" si="5"/>
        <v>0.46809798221108001</v>
      </c>
      <c r="T18" s="84">
        <f t="shared" si="5"/>
        <v>0.33651453387780311</v>
      </c>
      <c r="U18" s="84">
        <f t="shared" si="5"/>
        <v>0.23993287366588575</v>
      </c>
      <c r="V18" s="85">
        <f t="shared" si="6"/>
        <v>7.9055959462827703</v>
      </c>
      <c r="W18" s="86">
        <v>7.9055959462827703</v>
      </c>
      <c r="X18" s="85">
        <f t="shared" si="0"/>
        <v>0.32230996851715898</v>
      </c>
      <c r="Y18" s="87">
        <f t="shared" si="7"/>
        <v>0.32230996851715898</v>
      </c>
      <c r="Z18" s="86">
        <v>0.32230996851715898</v>
      </c>
      <c r="AA18" s="92">
        <v>0.332001778720379</v>
      </c>
      <c r="AB18" s="86">
        <v>0.33265717758608498</v>
      </c>
      <c r="AC18" s="86">
        <v>0.33651934650542698</v>
      </c>
      <c r="AD18" s="86">
        <v>0.34211282028256701</v>
      </c>
      <c r="AE18" s="86">
        <v>0.34710783356449998</v>
      </c>
      <c r="AF18" s="78">
        <v>147.69326759927199</v>
      </c>
      <c r="AG18" s="78">
        <v>228.12543892094001</v>
      </c>
      <c r="AH18" s="86">
        <v>283.266255294215</v>
      </c>
      <c r="AI18" s="86">
        <v>387.58646835565298</v>
      </c>
      <c r="AJ18" s="86">
        <v>369.96010154816298</v>
      </c>
      <c r="AK18" s="229">
        <v>243.13201263550999</v>
      </c>
      <c r="AL18" s="80">
        <f t="shared" si="8"/>
        <v>0</v>
      </c>
      <c r="AM18" s="80">
        <f t="shared" si="8"/>
        <v>0</v>
      </c>
      <c r="AN18" s="215">
        <v>19.53</v>
      </c>
      <c r="AO18" s="78">
        <f t="shared" si="9"/>
        <v>19.53</v>
      </c>
      <c r="AP18" s="63" t="str">
        <f t="shared" si="10"/>
        <v>CarDiesel</v>
      </c>
      <c r="AQ18" s="89">
        <f>AR18/SUM($AR$18:$AR$22)</f>
        <v>5.950319541892235E-2</v>
      </c>
      <c r="AR18" s="55">
        <v>15223</v>
      </c>
      <c r="AS18" s="90">
        <f t="shared" si="11"/>
        <v>34051</v>
      </c>
      <c r="AT18" s="55">
        <f>AJ18</f>
        <v>369.96010154816298</v>
      </c>
      <c r="AU18" s="86">
        <v>243.13201263550999</v>
      </c>
      <c r="AV18" s="86">
        <v>79.964468955562495</v>
      </c>
      <c r="AW18" s="86">
        <v>8.4181830560056294</v>
      </c>
      <c r="AY18" s="86">
        <f t="shared" ref="AY18:AY42" si="14">AU18-AK18</f>
        <v>0</v>
      </c>
      <c r="AZ18" s="91">
        <f t="shared" si="12"/>
        <v>0</v>
      </c>
      <c r="BA18" s="90">
        <f t="shared" si="13"/>
        <v>-883</v>
      </c>
      <c r="BC18" s="65">
        <v>34051</v>
      </c>
      <c r="BD18" s="65">
        <v>29429</v>
      </c>
      <c r="BF18" s="65" t="s">
        <v>240</v>
      </c>
      <c r="BG18" s="65" t="s">
        <v>237</v>
      </c>
      <c r="BH18" s="90">
        <v>33168</v>
      </c>
      <c r="BI18" s="63">
        <f t="array" ref="BI18">INDEX($BQ$22:$BQ$38,MATCH($BF18&amp;$BG18,$BN$22:$BN$38&amp;$BO$22:$BO$38,0))</f>
        <v>29512</v>
      </c>
      <c r="BX18" s="65"/>
      <c r="BY18" s="65"/>
    </row>
    <row r="19" spans="1:77" x14ac:dyDescent="0.25">
      <c r="A19" s="63" t="str">
        <f t="shared" si="1"/>
        <v>CAROGS</v>
      </c>
      <c r="B19" s="63" t="str">
        <f>D19&amp;C19&amp;"-E"</f>
        <v>TPPRCAROGS-E</v>
      </c>
      <c r="C19" s="63" t="s">
        <v>241</v>
      </c>
      <c r="D19" s="63" t="s">
        <v>238</v>
      </c>
      <c r="E19" s="63" t="s">
        <v>242</v>
      </c>
      <c r="F19" s="81">
        <f t="shared" si="2"/>
        <v>1.9099999999999999E-2</v>
      </c>
      <c r="G19" s="82">
        <f t="shared" si="3"/>
        <v>12852.747242613699</v>
      </c>
      <c r="H19" s="55">
        <v>19100</v>
      </c>
      <c r="I19" s="55">
        <v>12852.747242613699</v>
      </c>
      <c r="J19" s="83">
        <v>12637.1850755821</v>
      </c>
      <c r="K19" s="55">
        <v>11601.9930786731</v>
      </c>
      <c r="L19" s="55">
        <v>8633.7368714345102</v>
      </c>
      <c r="M19" s="55">
        <v>6268.2969175736998</v>
      </c>
      <c r="N19" s="55">
        <v>4452.4601660594199</v>
      </c>
      <c r="O19" s="84">
        <f t="shared" si="4"/>
        <v>0.67291870380176433</v>
      </c>
      <c r="P19" s="84">
        <f t="shared" si="5"/>
        <v>0.67291870380176433</v>
      </c>
      <c r="Q19" s="84">
        <f t="shared" si="5"/>
        <v>0.66163272647026705</v>
      </c>
      <c r="R19" s="84">
        <f t="shared" si="5"/>
        <v>0.60743419260068587</v>
      </c>
      <c r="S19" s="84">
        <f t="shared" si="5"/>
        <v>0.45202810845206859</v>
      </c>
      <c r="T19" s="84">
        <f t="shared" si="5"/>
        <v>0.32818308468972252</v>
      </c>
      <c r="U19" s="84">
        <f t="shared" si="5"/>
        <v>0.23311309769944608</v>
      </c>
      <c r="V19" s="85">
        <f t="shared" si="6"/>
        <v>8.1935839212683703</v>
      </c>
      <c r="W19" s="86">
        <v>8.1935839212683703</v>
      </c>
      <c r="X19" s="85">
        <f t="shared" si="0"/>
        <v>0.34093701352969102</v>
      </c>
      <c r="Y19" s="87">
        <f t="shared" si="7"/>
        <v>0.34093701352969102</v>
      </c>
      <c r="Z19" s="63">
        <v>0.34093701352969102</v>
      </c>
      <c r="AA19" s="63">
        <v>0.35686173917097103</v>
      </c>
      <c r="AB19" s="63">
        <v>0.35949352149263297</v>
      </c>
      <c r="AC19" s="63">
        <v>0.36773748352763003</v>
      </c>
      <c r="AD19" s="63">
        <v>0.374376610599086</v>
      </c>
      <c r="AE19" s="63">
        <v>0.37938792131855897</v>
      </c>
      <c r="AF19" s="86">
        <v>0.37938792131855897</v>
      </c>
      <c r="AG19" s="78">
        <v>5147.4548255316504</v>
      </c>
      <c r="AH19" s="86">
        <v>5479.0960107301498</v>
      </c>
      <c r="AI19" s="86">
        <v>5902.05729724512</v>
      </c>
      <c r="AJ19" s="86">
        <v>5259.5090745597199</v>
      </c>
      <c r="AK19" s="229">
        <v>2963.6268741726399</v>
      </c>
      <c r="AL19" s="80">
        <f t="shared" si="8"/>
        <v>0</v>
      </c>
      <c r="AM19" s="80">
        <f t="shared" si="8"/>
        <v>0</v>
      </c>
      <c r="AN19" s="215">
        <v>209.00360617320999</v>
      </c>
      <c r="AO19" s="78">
        <f t="shared" si="9"/>
        <v>209.00360617320999</v>
      </c>
      <c r="AP19" s="63" t="str">
        <f t="shared" si="10"/>
        <v>CarGasoline</v>
      </c>
      <c r="AQ19" s="89">
        <f>AR19/SUM($AR$18:$AR$22)</f>
        <v>0.93935153516915204</v>
      </c>
      <c r="AR19" s="55">
        <v>240319</v>
      </c>
      <c r="AS19" s="90">
        <f t="shared" si="11"/>
        <v>381672</v>
      </c>
      <c r="AT19" s="55">
        <f>AJ19</f>
        <v>5259.5090745597199</v>
      </c>
      <c r="AU19" s="86">
        <v>2963.6268741726399</v>
      </c>
      <c r="AV19" s="86">
        <v>1061.4603506595699</v>
      </c>
      <c r="AW19" s="86">
        <v>189.82402230184499</v>
      </c>
      <c r="AY19" s="86">
        <f t="shared" si="14"/>
        <v>0</v>
      </c>
      <c r="AZ19" s="91">
        <f t="shared" si="12"/>
        <v>0</v>
      </c>
      <c r="BA19" s="90">
        <f t="shared" si="13"/>
        <v>-8917</v>
      </c>
      <c r="BC19" s="65">
        <v>381672</v>
      </c>
      <c r="BD19" s="65">
        <v>328312</v>
      </c>
      <c r="BF19" s="65" t="s">
        <v>240</v>
      </c>
      <c r="BG19" s="65" t="s">
        <v>243</v>
      </c>
      <c r="BH19" s="90">
        <v>372755</v>
      </c>
      <c r="BI19" s="63">
        <f t="array" ref="BI19">INDEX($BQ$22:$BQ$38,MATCH($BF19&amp;$BG19,$BN$22:$BN$38&amp;$BO$22:$BO$38,0))</f>
        <v>328229</v>
      </c>
      <c r="BK19" s="65"/>
      <c r="BL19" s="65"/>
      <c r="BM19" s="65"/>
      <c r="BN19" s="65"/>
      <c r="BO19" s="65"/>
      <c r="BP19" s="65"/>
      <c r="BQ19" s="65"/>
      <c r="BR19" s="65"/>
      <c r="BS19" s="65"/>
      <c r="BT19" s="65"/>
      <c r="BU19" s="65"/>
      <c r="BV19" s="65"/>
      <c r="BW19" s="65"/>
    </row>
    <row r="20" spans="1:77" x14ac:dyDescent="0.25">
      <c r="A20" s="63" t="str">
        <f t="shared" si="1"/>
        <v>CARODS</v>
      </c>
      <c r="B20" s="63" t="str">
        <f>D20&amp;C20&amp;"H-E"</f>
        <v>TPPRCARODSH-E</v>
      </c>
      <c r="C20" s="63" t="s">
        <v>234</v>
      </c>
      <c r="D20" s="63" t="s">
        <v>238</v>
      </c>
      <c r="E20" s="65" t="s">
        <v>244</v>
      </c>
      <c r="F20" s="81">
        <f t="shared" si="2"/>
        <v>2.2499999999999999E-2</v>
      </c>
      <c r="G20" s="82">
        <f t="shared" si="3"/>
        <v>19881.719170397148</v>
      </c>
      <c r="H20" s="63">
        <v>22500</v>
      </c>
      <c r="I20" s="55">
        <v>19881.719170397148</v>
      </c>
      <c r="J20" s="83">
        <f>I20</f>
        <v>19881.719170397148</v>
      </c>
      <c r="K20" s="55">
        <f t="shared" ref="K20:N20" si="15">J20</f>
        <v>19881.719170397148</v>
      </c>
      <c r="L20" s="55">
        <f t="shared" si="15"/>
        <v>19881.719170397148</v>
      </c>
      <c r="M20" s="55">
        <f t="shared" si="15"/>
        <v>19881.719170397148</v>
      </c>
      <c r="N20" s="55">
        <f t="shared" si="15"/>
        <v>19881.719170397148</v>
      </c>
      <c r="O20" s="84">
        <f t="shared" si="4"/>
        <v>0.88363196312876213</v>
      </c>
      <c r="P20" s="84">
        <f t="shared" si="5"/>
        <v>0.88363196312876213</v>
      </c>
      <c r="Q20" s="84">
        <f t="shared" si="5"/>
        <v>0.88363196312876213</v>
      </c>
      <c r="R20" s="84">
        <f t="shared" si="5"/>
        <v>0.88363196312876213</v>
      </c>
      <c r="S20" s="84">
        <f t="shared" si="5"/>
        <v>0.88363196312876213</v>
      </c>
      <c r="T20" s="84">
        <f t="shared" si="5"/>
        <v>0.88363196312876213</v>
      </c>
      <c r="U20" s="84">
        <f t="shared" si="5"/>
        <v>0.88363196312876213</v>
      </c>
      <c r="V20" s="85">
        <f t="shared" si="6"/>
        <v>5.8008636405175897</v>
      </c>
      <c r="W20" s="86">
        <f>W18/W19*W21</f>
        <v>5.8008636405175897</v>
      </c>
      <c r="X20" s="85">
        <f t="shared" si="0"/>
        <v>0.44260233149753841</v>
      </c>
      <c r="Y20" s="87">
        <f t="shared" si="7"/>
        <v>0.44260233149753841</v>
      </c>
      <c r="Z20" s="86">
        <v>0.44260233149753841</v>
      </c>
      <c r="AA20" s="92">
        <v>0.442677144204426</v>
      </c>
      <c r="AB20" s="86">
        <v>0.44268528093113702</v>
      </c>
      <c r="AC20" s="86">
        <v>0.44274684110372098</v>
      </c>
      <c r="AD20" s="86">
        <v>0.44285783965419501</v>
      </c>
      <c r="AE20" s="86">
        <v>0.44301014956021301</v>
      </c>
      <c r="AF20" s="78">
        <v>0</v>
      </c>
      <c r="AG20" s="78">
        <v>0</v>
      </c>
      <c r="AH20" s="86">
        <v>0</v>
      </c>
      <c r="AI20" s="86">
        <v>0</v>
      </c>
      <c r="AJ20" s="86">
        <v>0</v>
      </c>
      <c r="AK20" s="229">
        <v>0</v>
      </c>
      <c r="AL20" s="80">
        <f t="shared" si="8"/>
        <v>0</v>
      </c>
      <c r="AM20" s="80">
        <f t="shared" si="8"/>
        <v>0</v>
      </c>
      <c r="AN20" s="215">
        <v>0</v>
      </c>
      <c r="AO20" s="78">
        <f t="shared" si="9"/>
        <v>0</v>
      </c>
      <c r="AP20" s="63" t="str">
        <f t="shared" si="10"/>
        <v>CarHybridDiesel</v>
      </c>
      <c r="AQ20" s="89">
        <f>AR20/SUM($AR$18:$AR$22)</f>
        <v>0</v>
      </c>
      <c r="AR20" s="55">
        <v>0</v>
      </c>
      <c r="AS20" s="90">
        <f t="shared" si="11"/>
        <v>0</v>
      </c>
      <c r="AU20" s="86">
        <v>0</v>
      </c>
      <c r="AV20" s="86">
        <v>0</v>
      </c>
      <c r="AW20" s="86">
        <v>0</v>
      </c>
      <c r="AY20" s="86">
        <f t="shared" si="14"/>
        <v>0</v>
      </c>
      <c r="AZ20" s="91">
        <f t="shared" si="12"/>
        <v>0</v>
      </c>
      <c r="BA20" s="90">
        <f t="shared" si="13"/>
        <v>0</v>
      </c>
      <c r="BC20" s="65">
        <v>0</v>
      </c>
      <c r="BD20" s="65">
        <v>0</v>
      </c>
      <c r="BF20" s="65" t="s">
        <v>240</v>
      </c>
      <c r="BG20" s="65" t="s">
        <v>245</v>
      </c>
      <c r="BH20" s="90">
        <v>0</v>
      </c>
      <c r="BI20" s="63">
        <f t="array" ref="BI20">INDEX($BQ$22:$BQ$38,MATCH($BF20&amp;$BG20,$BN$22:$BN$38&amp;$BO$22:$BO$38,0))</f>
        <v>0</v>
      </c>
      <c r="BJ20" s="65"/>
      <c r="BK20" s="65"/>
      <c r="BL20" s="65"/>
      <c r="BM20" s="65"/>
      <c r="BN20" s="63" t="s">
        <v>230</v>
      </c>
      <c r="BO20" s="65"/>
      <c r="BP20" s="65"/>
      <c r="BQ20" s="65"/>
      <c r="BR20" s="65"/>
      <c r="BS20" s="65"/>
      <c r="BT20" s="65"/>
    </row>
    <row r="21" spans="1:77" x14ac:dyDescent="0.25">
      <c r="A21" s="63" t="str">
        <f t="shared" si="1"/>
        <v>CAROGS</v>
      </c>
      <c r="B21" s="63" t="str">
        <f>D21&amp;C21&amp;"H-E"</f>
        <v>TPPRCAROGSH-E</v>
      </c>
      <c r="C21" s="63" t="s">
        <v>241</v>
      </c>
      <c r="D21" s="63" t="s">
        <v>238</v>
      </c>
      <c r="E21" s="63" t="s">
        <v>246</v>
      </c>
      <c r="F21" s="81">
        <f t="shared" si="2"/>
        <v>0.02</v>
      </c>
      <c r="G21" s="82">
        <f t="shared" si="3"/>
        <v>18345.381909407301</v>
      </c>
      <c r="H21" s="63">
        <v>20000</v>
      </c>
      <c r="I21" s="55">
        <v>18345.381909407301</v>
      </c>
      <c r="J21" s="83">
        <v>16469.932811344399</v>
      </c>
      <c r="K21" s="55">
        <v>14637.8162878194</v>
      </c>
      <c r="L21" s="55">
        <v>9973.7333703914101</v>
      </c>
      <c r="M21" s="55">
        <v>6889.2289892889703</v>
      </c>
      <c r="N21" s="55">
        <v>4793.0348277191597</v>
      </c>
      <c r="O21" s="84">
        <f t="shared" si="4"/>
        <v>0.91726909547036506</v>
      </c>
      <c r="P21" s="84">
        <f t="shared" si="5"/>
        <v>0.91726909547036506</v>
      </c>
      <c r="Q21" s="84">
        <f t="shared" si="5"/>
        <v>0.82349664056721994</v>
      </c>
      <c r="R21" s="84">
        <f t="shared" si="5"/>
        <v>0.73189081439097003</v>
      </c>
      <c r="S21" s="84">
        <f t="shared" si="5"/>
        <v>0.4986866685195705</v>
      </c>
      <c r="T21" s="84">
        <f t="shared" si="5"/>
        <v>0.34446144946444851</v>
      </c>
      <c r="U21" s="84">
        <f t="shared" si="5"/>
        <v>0.23965174138595799</v>
      </c>
      <c r="V21" s="85">
        <f t="shared" si="6"/>
        <v>6.0121796481091199</v>
      </c>
      <c r="W21" s="86">
        <v>6.0121796481091199</v>
      </c>
      <c r="X21" s="85">
        <f t="shared" si="0"/>
        <v>0.475035020619682</v>
      </c>
      <c r="Y21" s="87">
        <f t="shared" si="7"/>
        <v>0.475035020619682</v>
      </c>
      <c r="Z21" s="86">
        <v>0.475035020619682</v>
      </c>
      <c r="AA21" s="92">
        <v>0.48634218857827199</v>
      </c>
      <c r="AB21" s="86">
        <v>0.48658239494189298</v>
      </c>
      <c r="AC21" s="86">
        <v>0.48849585750196101</v>
      </c>
      <c r="AD21" s="86">
        <v>0.492038428921173</v>
      </c>
      <c r="AE21" s="86">
        <v>0.49648557965280099</v>
      </c>
      <c r="AF21" s="78">
        <v>0.30999004554632797</v>
      </c>
      <c r="AG21" s="78">
        <v>1.11288673921603</v>
      </c>
      <c r="AH21" s="86">
        <v>2.3087301118619199</v>
      </c>
      <c r="AI21" s="86">
        <v>4.1935845862025003</v>
      </c>
      <c r="AJ21" s="86">
        <v>4.11763972020184</v>
      </c>
      <c r="AK21" s="229">
        <v>3.1386913845266902</v>
      </c>
      <c r="AL21" s="80">
        <f t="shared" si="8"/>
        <v>0</v>
      </c>
      <c r="AM21" s="80">
        <f t="shared" si="8"/>
        <v>0</v>
      </c>
      <c r="AN21" s="215">
        <v>0.14199999999999999</v>
      </c>
      <c r="AO21" s="78">
        <f t="shared" si="9"/>
        <v>0.14199999999999999</v>
      </c>
      <c r="AP21" s="63" t="str">
        <f t="shared" si="10"/>
        <v>CarHybridGasoline</v>
      </c>
      <c r="AQ21" s="89">
        <f>AR21/SUM($AR$18:$AR$22)</f>
        <v>8.8338186721910602E-4</v>
      </c>
      <c r="AR21" s="55">
        <v>226</v>
      </c>
      <c r="AS21" s="90">
        <f t="shared" si="11"/>
        <v>204</v>
      </c>
      <c r="AU21" s="86">
        <v>3.1386913845266902</v>
      </c>
      <c r="AV21" s="86">
        <v>1.2079500244086701</v>
      </c>
      <c r="AW21" s="86">
        <v>0.13522368434951601</v>
      </c>
      <c r="AY21" s="86">
        <f t="shared" si="14"/>
        <v>0</v>
      </c>
      <c r="AZ21" s="91">
        <f t="shared" si="12"/>
        <v>0</v>
      </c>
      <c r="BA21" s="90">
        <f t="shared" si="13"/>
        <v>0</v>
      </c>
      <c r="BC21" s="65">
        <v>204</v>
      </c>
      <c r="BD21" s="65">
        <v>668</v>
      </c>
      <c r="BF21" s="65" t="s">
        <v>240</v>
      </c>
      <c r="BG21" s="65" t="s">
        <v>247</v>
      </c>
      <c r="BH21" s="90">
        <v>204</v>
      </c>
      <c r="BI21" s="63">
        <f t="array" ref="BI21">INDEX($BQ$22:$BQ$38,MATCH($BF21&amp;$BG21,$BN$22:$BN$38&amp;$BO$22:$BO$38,0))</f>
        <v>668</v>
      </c>
      <c r="BJ21" s="65"/>
      <c r="BK21" s="65"/>
      <c r="BL21" s="65"/>
      <c r="BM21" s="65"/>
      <c r="BN21" s="65" t="s">
        <v>248</v>
      </c>
      <c r="BO21" s="65" t="s">
        <v>249</v>
      </c>
      <c r="BP21" s="93">
        <v>2006</v>
      </c>
      <c r="BQ21" s="93">
        <v>2012</v>
      </c>
      <c r="BR21" s="65"/>
      <c r="BS21" s="65"/>
      <c r="BT21" s="65"/>
    </row>
    <row r="22" spans="1:77" x14ac:dyDescent="0.25">
      <c r="A22" s="63" t="str">
        <f t="shared" si="1"/>
        <v>CARELC</v>
      </c>
      <c r="B22" s="63" t="str">
        <f t="shared" ref="B22:B37" si="16">D22&amp;C22&amp;"-E"</f>
        <v>TPPRCARELC-E</v>
      </c>
      <c r="C22" s="63" t="s">
        <v>250</v>
      </c>
      <c r="D22" s="63" t="s">
        <v>238</v>
      </c>
      <c r="E22" s="65" t="s">
        <v>251</v>
      </c>
      <c r="F22" s="81">
        <f t="shared" si="2"/>
        <v>2.2499999999999999E-2</v>
      </c>
      <c r="G22" s="82">
        <f t="shared" si="3"/>
        <v>21358.407707781298</v>
      </c>
      <c r="H22" s="63">
        <v>22500</v>
      </c>
      <c r="I22" s="94" cm="1">
        <f t="array" ref="I22">TREND(K22:N22,$K$16:$N$16,$I$16)</f>
        <v>21358.407707781298</v>
      </c>
      <c r="J22" s="83">
        <v>21176.992852249601</v>
      </c>
      <c r="K22" s="55">
        <v>18784.2219075748</v>
      </c>
      <c r="L22" s="55">
        <v>12612.1000996887</v>
      </c>
      <c r="M22" s="55">
        <v>8490.9030310877897</v>
      </c>
      <c r="N22" s="55">
        <v>5732.69771320774</v>
      </c>
      <c r="O22" s="84">
        <f t="shared" si="4"/>
        <v>0.94926256479027993</v>
      </c>
      <c r="P22" s="84">
        <f t="shared" si="5"/>
        <v>0.94926256479027993</v>
      </c>
      <c r="Q22" s="84">
        <f t="shared" si="5"/>
        <v>0.94119968232220452</v>
      </c>
      <c r="R22" s="84">
        <f t="shared" si="5"/>
        <v>0.83485430700332441</v>
      </c>
      <c r="S22" s="84">
        <f t="shared" si="5"/>
        <v>0.56053778220838668</v>
      </c>
      <c r="T22" s="84">
        <f t="shared" si="5"/>
        <v>0.37737346804834621</v>
      </c>
      <c r="U22" s="84">
        <f t="shared" si="5"/>
        <v>0.25478656503145514</v>
      </c>
      <c r="V22" s="85">
        <f t="shared" si="6"/>
        <v>1.8270555245815701</v>
      </c>
      <c r="W22" s="86">
        <v>1.8270555245815701</v>
      </c>
      <c r="X22" s="85">
        <f t="shared" si="0"/>
        <v>1.60037643566239</v>
      </c>
      <c r="Y22" s="87">
        <f t="shared" si="7"/>
        <v>1.60037643566239</v>
      </c>
      <c r="Z22" s="86">
        <v>1.60037643566239</v>
      </c>
      <c r="AA22" s="92">
        <v>1.60037643566239</v>
      </c>
      <c r="AB22" s="86">
        <v>1.60041633961525</v>
      </c>
      <c r="AC22" s="86">
        <v>1.6010609819072401</v>
      </c>
      <c r="AD22" s="86">
        <v>1.6027693715918201</v>
      </c>
      <c r="AE22" s="86">
        <v>1.6056042777811199</v>
      </c>
      <c r="AF22" s="78">
        <v>0</v>
      </c>
      <c r="AG22" s="78">
        <v>0</v>
      </c>
      <c r="AH22" s="86">
        <v>0</v>
      </c>
      <c r="AI22" s="86">
        <v>0.33192828574538003</v>
      </c>
      <c r="AJ22" s="86">
        <v>0.33103303930312999</v>
      </c>
      <c r="AK22" s="229">
        <v>0.29041173582530899</v>
      </c>
      <c r="AL22" s="80">
        <f t="shared" si="8"/>
        <v>0</v>
      </c>
      <c r="AM22" s="80">
        <f t="shared" si="8"/>
        <v>0</v>
      </c>
      <c r="AN22" s="215">
        <v>4.3920000000000001E-3</v>
      </c>
      <c r="AO22" s="78">
        <f t="shared" si="9"/>
        <v>4.3920000000000001E-3</v>
      </c>
      <c r="AP22" s="63" t="str">
        <f t="shared" si="10"/>
        <v>CarElectric</v>
      </c>
      <c r="AQ22" s="89">
        <f>AR22/SUM($AR$18:$AR$22)</f>
        <v>2.6188754470654916E-4</v>
      </c>
      <c r="AR22" s="55">
        <v>67</v>
      </c>
      <c r="AS22" s="90">
        <f t="shared" si="11"/>
        <v>0</v>
      </c>
      <c r="AU22" s="86">
        <v>0.29041173582530899</v>
      </c>
      <c r="AV22" s="86">
        <v>0.14685198328200799</v>
      </c>
      <c r="AW22" s="86">
        <v>2.30565785820602E-2</v>
      </c>
      <c r="AY22" s="86">
        <f t="shared" si="14"/>
        <v>0</v>
      </c>
      <c r="AZ22" s="91">
        <f t="shared" si="12"/>
        <v>0</v>
      </c>
      <c r="BA22" s="90">
        <f t="shared" si="13"/>
        <v>0</v>
      </c>
      <c r="BC22" s="65">
        <v>0</v>
      </c>
      <c r="BD22" s="65">
        <v>0</v>
      </c>
      <c r="BF22" s="65" t="s">
        <v>240</v>
      </c>
      <c r="BG22" s="65" t="s">
        <v>252</v>
      </c>
      <c r="BH22" s="90">
        <v>0</v>
      </c>
      <c r="BI22" s="63">
        <f t="array" ref="BI22">INDEX($BQ$22:$BQ$38,MATCH($BF22&amp;$BG22,$BN$22:$BN$38&amp;$BO$22:$BO$38,0))</f>
        <v>0</v>
      </c>
      <c r="BJ22" s="65"/>
      <c r="BK22" s="65"/>
      <c r="BL22" s="65"/>
      <c r="BM22" s="65"/>
      <c r="BN22" s="65" t="s">
        <v>139</v>
      </c>
      <c r="BO22" s="65" t="s">
        <v>237</v>
      </c>
      <c r="BP22" s="63">
        <v>1211</v>
      </c>
      <c r="BQ22" s="63">
        <v>1063</v>
      </c>
      <c r="BR22" s="65"/>
      <c r="BS22" s="65"/>
      <c r="BT22" s="65"/>
    </row>
    <row r="23" spans="1:77" x14ac:dyDescent="0.25">
      <c r="A23" s="63" t="str">
        <f t="shared" si="1"/>
        <v>CV1ODS</v>
      </c>
      <c r="B23" s="63" t="str">
        <f t="shared" si="16"/>
        <v>TFHCV1ODS-E</v>
      </c>
      <c r="C23" s="63" t="s">
        <v>234</v>
      </c>
      <c r="D23" s="63" t="s">
        <v>253</v>
      </c>
      <c r="E23" s="65" t="s">
        <v>254</v>
      </c>
      <c r="F23" s="81">
        <f t="shared" si="2"/>
        <v>5.5E-2</v>
      </c>
      <c r="G23" s="82">
        <f t="shared" si="3"/>
        <v>30805.1279861556</v>
      </c>
      <c r="H23" s="63">
        <v>55000</v>
      </c>
      <c r="I23" s="55">
        <v>30805.1279861556</v>
      </c>
      <c r="J23" s="83">
        <v>28672.905293975698</v>
      </c>
      <c r="K23" s="55">
        <v>22087.9979749747</v>
      </c>
      <c r="L23" s="55">
        <v>10770.667037622199</v>
      </c>
      <c r="M23" s="55">
        <v>5163.7604055934698</v>
      </c>
      <c r="N23" s="55">
        <v>2380.8493192292499</v>
      </c>
      <c r="O23" s="84">
        <f t="shared" si="4"/>
        <v>0.56009323611191997</v>
      </c>
      <c r="P23" s="84">
        <f t="shared" si="5"/>
        <v>0.56009323611191997</v>
      </c>
      <c r="Q23" s="84">
        <f t="shared" si="5"/>
        <v>0.52132555079955811</v>
      </c>
      <c r="R23" s="84">
        <f t="shared" si="5"/>
        <v>0.40159996318135815</v>
      </c>
      <c r="S23" s="84">
        <f t="shared" si="5"/>
        <v>0.19583030977494909</v>
      </c>
      <c r="T23" s="84">
        <f t="shared" si="5"/>
        <v>9.3886552828972181E-2</v>
      </c>
      <c r="U23" s="84">
        <f t="shared" si="5"/>
        <v>4.3288169440531814E-2</v>
      </c>
      <c r="V23" s="85">
        <f t="shared" si="6"/>
        <v>15.4098612224773</v>
      </c>
      <c r="W23" s="86">
        <v>15.4098612224773</v>
      </c>
      <c r="X23" s="85">
        <f t="shared" si="0"/>
        <v>0.15973207030061001</v>
      </c>
      <c r="Y23" s="87">
        <f t="shared" si="7"/>
        <v>0.15973207030061001</v>
      </c>
      <c r="Z23" s="86">
        <v>0.15973207030061001</v>
      </c>
      <c r="AA23" s="92">
        <v>0.170324176066042</v>
      </c>
      <c r="AB23" s="86">
        <v>0.17019984843924499</v>
      </c>
      <c r="AC23" s="86">
        <v>0.17409813013726</v>
      </c>
      <c r="AD23" s="86">
        <v>0.17789366131389001</v>
      </c>
      <c r="AE23" s="86">
        <v>0.18082625096775001</v>
      </c>
      <c r="AF23" s="78">
        <v>89.798500891253894</v>
      </c>
      <c r="AG23" s="78">
        <v>111.125617282167</v>
      </c>
      <c r="AH23" s="86">
        <v>116.591505230221</v>
      </c>
      <c r="AI23" s="86">
        <v>126.227705550552</v>
      </c>
      <c r="AJ23" s="86">
        <v>128.85669585561601</v>
      </c>
      <c r="AK23" s="229">
        <v>65.904742901988897</v>
      </c>
      <c r="AL23" s="80">
        <f t="shared" si="8"/>
        <v>0</v>
      </c>
      <c r="AM23" s="80">
        <f t="shared" si="8"/>
        <v>0</v>
      </c>
      <c r="AN23" s="215">
        <v>21.25</v>
      </c>
      <c r="AO23" s="78">
        <f t="shared" si="9"/>
        <v>21.25</v>
      </c>
      <c r="AP23" s="63" t="str">
        <f t="shared" si="10"/>
        <v>HCV1Diesel</v>
      </c>
      <c r="AQ23" s="95">
        <f>AR23/SUM($AR$23:$AR$24)</f>
        <v>1</v>
      </c>
      <c r="AR23" s="55">
        <v>5995</v>
      </c>
      <c r="AS23" s="90">
        <f t="shared" si="11"/>
        <v>11672</v>
      </c>
      <c r="AU23" s="86">
        <v>65.904742901988897</v>
      </c>
      <c r="AV23" s="86">
        <v>16.632960198561999</v>
      </c>
      <c r="AW23" s="86">
        <v>1.4225903540007701</v>
      </c>
      <c r="AY23" s="86">
        <f t="shared" si="14"/>
        <v>0</v>
      </c>
      <c r="AZ23" s="91">
        <f t="shared" si="12"/>
        <v>0</v>
      </c>
      <c r="BA23" s="90">
        <f t="shared" si="13"/>
        <v>2150</v>
      </c>
      <c r="BC23" s="65">
        <v>11672</v>
      </c>
      <c r="BD23" s="65">
        <v>8111</v>
      </c>
      <c r="BF23" s="65" t="s">
        <v>255</v>
      </c>
      <c r="BG23" s="65" t="s">
        <v>237</v>
      </c>
      <c r="BH23" s="90">
        <v>13822</v>
      </c>
      <c r="BI23" s="63">
        <f t="array" ref="BI23">INDEX($BQ$22:$BQ$38,MATCH($BF23&amp;$BG23,$BN$22:$BN$38&amp;$BO$22:$BO$38,0))</f>
        <v>9487</v>
      </c>
      <c r="BJ23" s="65"/>
      <c r="BK23" s="65"/>
      <c r="BL23" s="65"/>
      <c r="BM23" s="65"/>
      <c r="BN23" s="65" t="s">
        <v>256</v>
      </c>
      <c r="BO23" s="65" t="s">
        <v>237</v>
      </c>
      <c r="BP23" s="63">
        <v>6533</v>
      </c>
      <c r="BQ23" s="63">
        <v>4742</v>
      </c>
      <c r="BR23" s="65"/>
      <c r="BS23" s="65"/>
      <c r="BT23" s="65"/>
    </row>
    <row r="24" spans="1:77" x14ac:dyDescent="0.25">
      <c r="A24" s="63" t="str">
        <f t="shared" si="1"/>
        <v>CV1OGS</v>
      </c>
      <c r="B24" s="63" t="str">
        <f t="shared" si="16"/>
        <v>TFHCV1OGS-E</v>
      </c>
      <c r="C24" s="63" t="s">
        <v>241</v>
      </c>
      <c r="D24" s="63" t="s">
        <v>253</v>
      </c>
      <c r="E24" s="65" t="s">
        <v>257</v>
      </c>
      <c r="F24" s="81">
        <f t="shared" si="2"/>
        <v>4.8000000000000001E-2</v>
      </c>
      <c r="G24" s="82">
        <f t="shared" si="3"/>
        <v>17100.2801251579</v>
      </c>
      <c r="H24" s="63">
        <v>48000</v>
      </c>
      <c r="I24" s="55">
        <v>17100.2801251579</v>
      </c>
      <c r="J24" s="83">
        <v>13782.969469301601</v>
      </c>
      <c r="K24" s="55">
        <v>12796.259204828801</v>
      </c>
      <c r="L24" s="55">
        <v>10147.057094637899</v>
      </c>
      <c r="M24" s="55">
        <v>6586.2943384510099</v>
      </c>
      <c r="N24" s="55">
        <v>3740.6636764421</v>
      </c>
      <c r="O24" s="84">
        <f t="shared" si="4"/>
        <v>0.35625583594078958</v>
      </c>
      <c r="P24" s="84">
        <f t="shared" si="5"/>
        <v>0.35625583594078958</v>
      </c>
      <c r="Q24" s="84">
        <f t="shared" si="5"/>
        <v>0.28714519727711668</v>
      </c>
      <c r="R24" s="84">
        <f t="shared" si="5"/>
        <v>0.26658873343393336</v>
      </c>
      <c r="S24" s="84">
        <f t="shared" si="5"/>
        <v>0.21139702280495623</v>
      </c>
      <c r="T24" s="84">
        <f t="shared" si="5"/>
        <v>0.13721446538439605</v>
      </c>
      <c r="U24" s="84">
        <f t="shared" si="5"/>
        <v>7.793049325921042E-2</v>
      </c>
      <c r="V24" s="85">
        <f t="shared" si="6"/>
        <v>19.628700201694802</v>
      </c>
      <c r="W24" s="86">
        <v>19.628700201694802</v>
      </c>
      <c r="X24" s="85">
        <f t="shared" si="0"/>
        <v>0.14527289486418399</v>
      </c>
      <c r="Y24" s="87">
        <f t="shared" si="7"/>
        <v>0.14527289486418399</v>
      </c>
      <c r="Z24" s="86">
        <v>0.14527289486418399</v>
      </c>
      <c r="AA24" s="92">
        <v>0.14896435210389899</v>
      </c>
      <c r="AB24" s="86">
        <v>0.152765483769921</v>
      </c>
      <c r="AC24" s="86">
        <v>0.16609404654853699</v>
      </c>
      <c r="AD24" s="86">
        <v>0.17211134514717899</v>
      </c>
      <c r="AE24" s="86">
        <v>0.173986340906439</v>
      </c>
      <c r="AF24" s="78">
        <v>6.3192945107162597</v>
      </c>
      <c r="AG24" s="78">
        <v>4.5665100945894901</v>
      </c>
      <c r="AH24" s="86">
        <v>4.0661003460126599</v>
      </c>
      <c r="AI24" s="86">
        <v>2.3335554859995198</v>
      </c>
      <c r="AJ24" s="86">
        <v>1.87929418014928</v>
      </c>
      <c r="AK24" s="229">
        <v>0.35865569412206</v>
      </c>
      <c r="AL24" s="80">
        <f t="shared" si="8"/>
        <v>0</v>
      </c>
      <c r="AM24" s="80">
        <f t="shared" si="8"/>
        <v>0</v>
      </c>
      <c r="AN24" s="215">
        <v>0.21590000000000001</v>
      </c>
      <c r="AO24" s="78">
        <f t="shared" si="9"/>
        <v>0.21590000000000001</v>
      </c>
      <c r="AP24" s="63" t="str">
        <f t="shared" si="10"/>
        <v>HCV1Petrol</v>
      </c>
      <c r="AQ24" s="95">
        <f>AR24/SUM($AR$23:$AR$24)</f>
        <v>0</v>
      </c>
      <c r="AR24" s="55">
        <v>0</v>
      </c>
      <c r="AS24" s="90">
        <f t="shared" si="11"/>
        <v>50</v>
      </c>
      <c r="AU24" s="86">
        <v>0.35865569412206</v>
      </c>
      <c r="AV24" s="86">
        <v>4.22482020202481E-2</v>
      </c>
      <c r="AW24" s="86">
        <v>1.4566059018820399E-3</v>
      </c>
      <c r="AY24" s="86">
        <f t="shared" si="14"/>
        <v>0</v>
      </c>
      <c r="AZ24" s="91">
        <f t="shared" si="12"/>
        <v>0</v>
      </c>
      <c r="BA24" s="90">
        <f t="shared" si="13"/>
        <v>9</v>
      </c>
      <c r="BC24" s="65">
        <v>50</v>
      </c>
      <c r="BD24" s="65">
        <v>2</v>
      </c>
      <c r="BF24" s="65" t="s">
        <v>255</v>
      </c>
      <c r="BG24" s="65" t="s">
        <v>243</v>
      </c>
      <c r="BH24" s="90">
        <v>59</v>
      </c>
      <c r="BI24" s="63">
        <f t="array" ref="BI24">INDEX($BQ$22:$BQ$38,MATCH($BF24&amp;$BG24,$BN$22:$BN$38&amp;$BO$22:$BO$38,0))</f>
        <v>2</v>
      </c>
      <c r="BJ24" s="65"/>
      <c r="BK24" s="65"/>
      <c r="BL24" s="65"/>
      <c r="BM24" s="65"/>
      <c r="BN24" s="65" t="s">
        <v>258</v>
      </c>
      <c r="BO24" s="65" t="s">
        <v>237</v>
      </c>
      <c r="BP24" s="63">
        <v>10594</v>
      </c>
      <c r="BQ24" s="63">
        <v>10887</v>
      </c>
      <c r="BR24" s="65"/>
      <c r="BS24" s="65"/>
      <c r="BT24" s="65"/>
    </row>
    <row r="25" spans="1:77" x14ac:dyDescent="0.25">
      <c r="A25" s="63" t="str">
        <f t="shared" si="1"/>
        <v>CV2ODS</v>
      </c>
      <c r="B25" s="63" t="str">
        <f t="shared" si="16"/>
        <v>TFHCV2ODS-E</v>
      </c>
      <c r="C25" s="63" t="s">
        <v>234</v>
      </c>
      <c r="D25" s="63" t="s">
        <v>259</v>
      </c>
      <c r="E25" s="65" t="s">
        <v>260</v>
      </c>
      <c r="F25" s="81">
        <f t="shared" si="2"/>
        <v>4.8000000000000001E-2</v>
      </c>
      <c r="G25" s="82">
        <f t="shared" si="3"/>
        <v>30096.280108149898</v>
      </c>
      <c r="H25" s="63">
        <v>48000</v>
      </c>
      <c r="I25" s="55">
        <v>30096.280108149898</v>
      </c>
      <c r="J25" s="83">
        <v>29561.999562574299</v>
      </c>
      <c r="K25" s="55">
        <v>24497.736432427999</v>
      </c>
      <c r="L25" s="55">
        <v>14610.929875231801</v>
      </c>
      <c r="M25" s="55">
        <v>8543.2253063316602</v>
      </c>
      <c r="N25" s="55">
        <v>4821.5844473183597</v>
      </c>
      <c r="O25" s="84">
        <f t="shared" si="4"/>
        <v>0.62700583558645617</v>
      </c>
      <c r="P25" s="84">
        <f t="shared" si="5"/>
        <v>0.62700583558645617</v>
      </c>
      <c r="Q25" s="84">
        <f t="shared" si="5"/>
        <v>0.61587499088696462</v>
      </c>
      <c r="R25" s="84">
        <f t="shared" si="5"/>
        <v>0.51036950900891664</v>
      </c>
      <c r="S25" s="84">
        <f t="shared" si="5"/>
        <v>0.30439437240066253</v>
      </c>
      <c r="T25" s="84">
        <f t="shared" si="5"/>
        <v>0.17798386054857626</v>
      </c>
      <c r="U25" s="84">
        <f t="shared" si="5"/>
        <v>0.10044967598579917</v>
      </c>
      <c r="V25" s="85">
        <f t="shared" si="6"/>
        <v>19.237973630069799</v>
      </c>
      <c r="W25" s="86">
        <v>19.237973630069799</v>
      </c>
      <c r="X25" s="85">
        <f t="shared" si="0"/>
        <v>0.12700916328634601</v>
      </c>
      <c r="Y25" s="87">
        <f t="shared" si="7"/>
        <v>0.12700916328634601</v>
      </c>
      <c r="Z25" s="86">
        <v>0.12700916328634601</v>
      </c>
      <c r="AA25" s="92">
        <v>0.13643182834537301</v>
      </c>
      <c r="AB25" s="86">
        <v>0.136459139072411</v>
      </c>
      <c r="AC25" s="86">
        <v>0.14013799688852099</v>
      </c>
      <c r="AD25" s="86">
        <v>0.143519603118716</v>
      </c>
      <c r="AE25" s="86">
        <v>0.14596983768762201</v>
      </c>
      <c r="AF25" s="78">
        <v>23.060160967095001</v>
      </c>
      <c r="AG25" s="78">
        <v>27.614813403739699</v>
      </c>
      <c r="AH25" s="86">
        <v>30.2417068509633</v>
      </c>
      <c r="AI25" s="86">
        <v>33.929342714939402</v>
      </c>
      <c r="AJ25" s="86">
        <v>34.442063385055299</v>
      </c>
      <c r="AK25" s="229">
        <v>18.009652806729299</v>
      </c>
      <c r="AL25" s="80">
        <f t="shared" si="8"/>
        <v>0</v>
      </c>
      <c r="AM25" s="80">
        <f t="shared" si="8"/>
        <v>0</v>
      </c>
      <c r="AN25" s="215">
        <v>7.3520000000000003</v>
      </c>
      <c r="AO25" s="78">
        <f t="shared" si="9"/>
        <v>7.3520000000000003</v>
      </c>
      <c r="AP25" s="63" t="str">
        <f t="shared" si="10"/>
        <v>HCV2Diesel</v>
      </c>
      <c r="AQ25" s="89">
        <f t="shared" ref="AQ25:AQ32" si="17">AR25/AR25</f>
        <v>1</v>
      </c>
      <c r="AR25" s="55">
        <v>2428</v>
      </c>
      <c r="AS25" s="90">
        <f t="shared" si="11"/>
        <v>3286</v>
      </c>
      <c r="AU25" s="86">
        <v>18.009652806729299</v>
      </c>
      <c r="AV25" s="86">
        <v>4.7708767415142903</v>
      </c>
      <c r="AW25" s="86">
        <v>0.43639401142808998</v>
      </c>
      <c r="AY25" s="86">
        <f t="shared" si="14"/>
        <v>0</v>
      </c>
      <c r="AZ25" s="91">
        <f t="shared" si="12"/>
        <v>0</v>
      </c>
      <c r="BA25" s="90">
        <f t="shared" si="13"/>
        <v>-3286</v>
      </c>
      <c r="BC25" s="65">
        <v>3286</v>
      </c>
      <c r="BD25" s="65">
        <v>1948</v>
      </c>
      <c r="BF25" s="65"/>
      <c r="BG25" s="65"/>
      <c r="BH25" s="65"/>
      <c r="BI25" s="63" t="e">
        <f t="array" ref="BI25">INDEX($BQ$22:$BQ$38,MATCH($BF25&amp;$BG25,$BN$22:$BN$38&amp;$BO$22:$BO$38,0))</f>
        <v>#N/A</v>
      </c>
      <c r="BJ25" s="65"/>
      <c r="BK25" s="65"/>
      <c r="BL25" s="65"/>
      <c r="BM25" s="65"/>
      <c r="BN25" s="65" t="s">
        <v>255</v>
      </c>
      <c r="BO25" s="65" t="s">
        <v>237</v>
      </c>
      <c r="BP25" s="63">
        <v>13822</v>
      </c>
      <c r="BQ25" s="63">
        <v>9487</v>
      </c>
      <c r="BR25" s="65"/>
      <c r="BS25" s="65"/>
      <c r="BT25" s="65"/>
    </row>
    <row r="26" spans="1:77" x14ac:dyDescent="0.25">
      <c r="A26" s="63" t="str">
        <f t="shared" si="1"/>
        <v>CV3ODS</v>
      </c>
      <c r="B26" s="63" t="str">
        <f t="shared" si="16"/>
        <v>TFHCV3ODS-E</v>
      </c>
      <c r="C26" s="63" t="s">
        <v>234</v>
      </c>
      <c r="D26" s="63" t="s">
        <v>261</v>
      </c>
      <c r="E26" s="65" t="s">
        <v>262</v>
      </c>
      <c r="F26" s="81">
        <f t="shared" si="2"/>
        <v>8.4999999999999992E-2</v>
      </c>
      <c r="G26" s="82">
        <f t="shared" si="3"/>
        <v>54512.527353451602</v>
      </c>
      <c r="H26" s="63">
        <v>85000</v>
      </c>
      <c r="I26" s="55">
        <v>54512.527353451602</v>
      </c>
      <c r="J26" s="83">
        <v>52619.682956395503</v>
      </c>
      <c r="K26" s="55">
        <v>43616.915096980403</v>
      </c>
      <c r="L26" s="55">
        <v>25805.432955472199</v>
      </c>
      <c r="M26" s="55">
        <v>14967.2392135424</v>
      </c>
      <c r="N26" s="55">
        <v>8441.3826533075207</v>
      </c>
      <c r="O26" s="84">
        <f t="shared" si="4"/>
        <v>0.64132385121707769</v>
      </c>
      <c r="P26" s="84">
        <f t="shared" si="5"/>
        <v>0.64132385121707769</v>
      </c>
      <c r="Q26" s="84">
        <f t="shared" si="5"/>
        <v>0.61905509360465294</v>
      </c>
      <c r="R26" s="84">
        <f t="shared" si="5"/>
        <v>0.51314017761153419</v>
      </c>
      <c r="S26" s="84">
        <f t="shared" si="5"/>
        <v>0.30359332888790824</v>
      </c>
      <c r="T26" s="84">
        <f t="shared" si="5"/>
        <v>0.17608516721814588</v>
      </c>
      <c r="U26" s="84">
        <f t="shared" si="5"/>
        <v>9.9310384156559073E-2</v>
      </c>
      <c r="V26" s="85">
        <f t="shared" si="6"/>
        <v>22.0039654914689</v>
      </c>
      <c r="W26" s="86">
        <v>22.0039654914689</v>
      </c>
      <c r="X26" s="85">
        <f t="shared" si="0"/>
        <v>0.11158645590879999</v>
      </c>
      <c r="Y26" s="87">
        <f t="shared" si="7"/>
        <v>0.11158645590879999</v>
      </c>
      <c r="Z26" s="86">
        <v>0.11158645590879999</v>
      </c>
      <c r="AA26" s="92">
        <v>0.119281768417066</v>
      </c>
      <c r="AB26" s="86">
        <v>0.11931868717182099</v>
      </c>
      <c r="AC26" s="86">
        <v>0.12232153623233299</v>
      </c>
      <c r="AD26" s="86">
        <v>0.12509253733459699</v>
      </c>
      <c r="AE26" s="86">
        <v>0.12724056107916601</v>
      </c>
      <c r="AF26" s="78">
        <v>39.206942001051502</v>
      </c>
      <c r="AG26" s="78">
        <v>49.889561280829902</v>
      </c>
      <c r="AH26" s="86">
        <v>55.810791547743598</v>
      </c>
      <c r="AI26" s="86">
        <v>62.7019053147121</v>
      </c>
      <c r="AJ26" s="86">
        <v>63.616850519339202</v>
      </c>
      <c r="AK26" s="229">
        <v>33.590395028435502</v>
      </c>
      <c r="AL26" s="80">
        <f t="shared" si="8"/>
        <v>0</v>
      </c>
      <c r="AM26" s="80">
        <f t="shared" si="8"/>
        <v>0</v>
      </c>
      <c r="AN26" s="215">
        <v>27.66</v>
      </c>
      <c r="AO26" s="78">
        <f t="shared" si="9"/>
        <v>27.66</v>
      </c>
      <c r="AP26" s="63" t="str">
        <f t="shared" si="10"/>
        <v>HCV3Diesel</v>
      </c>
      <c r="AQ26" s="89">
        <f t="shared" si="17"/>
        <v>1</v>
      </c>
      <c r="AR26" s="55">
        <v>3979</v>
      </c>
      <c r="AS26" s="90">
        <f t="shared" si="11"/>
        <v>5406</v>
      </c>
      <c r="AU26" s="86">
        <v>33.590395028435502</v>
      </c>
      <c r="AV26" s="86">
        <v>8.8510707400015196</v>
      </c>
      <c r="AW26" s="86">
        <v>0.78860896406182801</v>
      </c>
      <c r="AY26" s="86">
        <f t="shared" si="14"/>
        <v>0</v>
      </c>
      <c r="AZ26" s="91">
        <f t="shared" si="12"/>
        <v>0</v>
      </c>
      <c r="BA26" s="90">
        <f t="shared" si="13"/>
        <v>-5406</v>
      </c>
      <c r="BC26" s="65">
        <v>5406</v>
      </c>
      <c r="BD26" s="65">
        <v>4163</v>
      </c>
      <c r="BF26" s="65"/>
      <c r="BG26" s="65"/>
      <c r="BH26" s="65"/>
      <c r="BI26" s="63" t="e">
        <f t="array" ref="BI26">INDEX($BQ$22:$BQ$38,MATCH($BF26&amp;$BG26,$BN$22:$BN$38&amp;$BO$22:$BO$38,0))</f>
        <v>#N/A</v>
      </c>
      <c r="BJ26" s="65"/>
      <c r="BK26" s="65"/>
      <c r="BL26" s="65"/>
      <c r="BM26" s="65"/>
      <c r="BN26" s="65" t="s">
        <v>255</v>
      </c>
      <c r="BO26" s="65" t="s">
        <v>243</v>
      </c>
      <c r="BP26" s="63">
        <v>59</v>
      </c>
      <c r="BQ26" s="63">
        <v>2</v>
      </c>
      <c r="BR26" s="65"/>
      <c r="BS26" s="65"/>
      <c r="BT26" s="65"/>
    </row>
    <row r="27" spans="1:77" x14ac:dyDescent="0.25">
      <c r="A27" s="63" t="str">
        <f t="shared" si="1"/>
        <v>CV4ODS</v>
      </c>
      <c r="B27" s="63" t="str">
        <f t="shared" si="16"/>
        <v>TFHCV4ODS-E</v>
      </c>
      <c r="C27" s="63" t="s">
        <v>234</v>
      </c>
      <c r="D27" s="63" t="s">
        <v>263</v>
      </c>
      <c r="E27" s="65" t="s">
        <v>264</v>
      </c>
      <c r="F27" s="81">
        <f t="shared" si="2"/>
        <v>8.4999999999999992E-2</v>
      </c>
      <c r="G27" s="82">
        <f t="shared" si="3"/>
        <v>53608.118344618502</v>
      </c>
      <c r="H27" s="63">
        <v>85000</v>
      </c>
      <c r="I27" s="55">
        <v>53608.118344618502</v>
      </c>
      <c r="J27" s="83">
        <v>49633.5682573101</v>
      </c>
      <c r="K27" s="55">
        <v>41178.3179414927</v>
      </c>
      <c r="L27" s="55">
        <v>24580.907353317001</v>
      </c>
      <c r="M27" s="55">
        <v>14555.057549323699</v>
      </c>
      <c r="N27" s="55">
        <v>8354.6583221761994</v>
      </c>
      <c r="O27" s="84">
        <f t="shared" si="4"/>
        <v>0.63068374523080595</v>
      </c>
      <c r="P27" s="84">
        <f t="shared" si="5"/>
        <v>0.63068374523080595</v>
      </c>
      <c r="Q27" s="84">
        <f t="shared" si="5"/>
        <v>0.58392433243894237</v>
      </c>
      <c r="R27" s="84">
        <f t="shared" si="5"/>
        <v>0.48445079931167884</v>
      </c>
      <c r="S27" s="84">
        <f t="shared" si="5"/>
        <v>0.28918714533314122</v>
      </c>
      <c r="T27" s="84">
        <f t="shared" si="5"/>
        <v>0.17123597116851411</v>
      </c>
      <c r="U27" s="84">
        <f t="shared" si="5"/>
        <v>9.8290097907955287E-2</v>
      </c>
      <c r="V27" s="85">
        <f t="shared" si="6"/>
        <v>25.603686211102399</v>
      </c>
      <c r="W27" s="86">
        <v>25.603686211102399</v>
      </c>
      <c r="X27" s="85">
        <f t="shared" si="0"/>
        <v>9.6686855885418296E-2</v>
      </c>
      <c r="Y27" s="87">
        <f t="shared" si="7"/>
        <v>9.6686855885418296E-2</v>
      </c>
      <c r="Z27" s="86">
        <v>9.6686855885418296E-2</v>
      </c>
      <c r="AA27" s="92">
        <v>0.102511485821615</v>
      </c>
      <c r="AB27" s="86">
        <v>0.10254809996583</v>
      </c>
      <c r="AC27" s="86">
        <v>0.105418203184048</v>
      </c>
      <c r="AD27" s="86">
        <v>0.108304805407653</v>
      </c>
      <c r="AE27" s="86">
        <v>0.110554573148034</v>
      </c>
      <c r="AF27" s="78">
        <v>9.0084805137687098</v>
      </c>
      <c r="AG27" s="78">
        <v>10.9402464363147</v>
      </c>
      <c r="AH27" s="86">
        <v>11.967646306107399</v>
      </c>
      <c r="AI27" s="86">
        <v>12.056497449546701</v>
      </c>
      <c r="AJ27" s="86">
        <v>12.2894367454119</v>
      </c>
      <c r="AK27" s="229">
        <v>6.0737110439854698</v>
      </c>
      <c r="AL27" s="80">
        <f t="shared" si="8"/>
        <v>0</v>
      </c>
      <c r="AM27" s="80">
        <f t="shared" si="8"/>
        <v>0</v>
      </c>
      <c r="AN27" s="215">
        <v>5.8369999999999997</v>
      </c>
      <c r="AO27" s="78">
        <f t="shared" si="9"/>
        <v>5.8369999999999997</v>
      </c>
      <c r="AP27" s="63" t="str">
        <f t="shared" si="10"/>
        <v>HCV4Diesel</v>
      </c>
      <c r="AQ27" s="89">
        <f t="shared" si="17"/>
        <v>1</v>
      </c>
      <c r="AR27" s="55">
        <v>613</v>
      </c>
      <c r="AS27" s="90">
        <f t="shared" si="11"/>
        <v>961</v>
      </c>
      <c r="AU27" s="86">
        <v>6.0737110439854698</v>
      </c>
      <c r="AV27" s="86">
        <v>1.4756852509699701</v>
      </c>
      <c r="AW27" s="86">
        <v>0.124461962412359</v>
      </c>
      <c r="AY27" s="86">
        <f t="shared" si="14"/>
        <v>0</v>
      </c>
      <c r="AZ27" s="91">
        <f t="shared" si="12"/>
        <v>0</v>
      </c>
      <c r="BA27" s="90">
        <f t="shared" si="13"/>
        <v>-961</v>
      </c>
      <c r="BC27" s="65">
        <v>961</v>
      </c>
      <c r="BD27" s="65">
        <v>791</v>
      </c>
      <c r="BF27" s="65"/>
      <c r="BG27" s="65"/>
      <c r="BH27" s="65"/>
      <c r="BI27" s="63" t="e">
        <f t="array" ref="BI27">INDEX($BQ$22:$BQ$38,MATCH($BF27&amp;$BG27,$BN$22:$BN$38&amp;$BO$22:$BO$38,0))</f>
        <v>#N/A</v>
      </c>
      <c r="BJ27" s="65"/>
      <c r="BK27" s="65"/>
      <c r="BL27" s="65"/>
      <c r="BM27" s="65"/>
      <c r="BN27" s="65" t="s">
        <v>136</v>
      </c>
      <c r="BO27" s="65" t="s">
        <v>237</v>
      </c>
      <c r="BP27" s="63">
        <v>81959</v>
      </c>
      <c r="BQ27" s="63">
        <v>76902</v>
      </c>
      <c r="BR27" s="65"/>
      <c r="BS27" s="65"/>
      <c r="BT27" s="65"/>
    </row>
    <row r="28" spans="1:77" x14ac:dyDescent="0.25">
      <c r="A28" s="63" t="str">
        <f t="shared" si="1"/>
        <v>CV5ODS</v>
      </c>
      <c r="B28" s="63" t="str">
        <f t="shared" si="16"/>
        <v>TFHCV5ODS-E</v>
      </c>
      <c r="C28" s="63" t="s">
        <v>234</v>
      </c>
      <c r="D28" s="63" t="s">
        <v>265</v>
      </c>
      <c r="E28" s="65" t="s">
        <v>266</v>
      </c>
      <c r="F28" s="81">
        <f t="shared" si="2"/>
        <v>0.11</v>
      </c>
      <c r="G28" s="82">
        <f t="shared" si="3"/>
        <v>56756.7653972318</v>
      </c>
      <c r="H28" s="63">
        <v>110000</v>
      </c>
      <c r="I28" s="55">
        <v>56756.7653972318</v>
      </c>
      <c r="J28" s="83">
        <v>54633.576505741999</v>
      </c>
      <c r="K28" s="55">
        <v>41042.438402302003</v>
      </c>
      <c r="L28" s="55">
        <v>18555.788331098702</v>
      </c>
      <c r="M28" s="55">
        <v>8191.3212326102703</v>
      </c>
      <c r="N28" s="55">
        <v>3449.4908462179801</v>
      </c>
      <c r="O28" s="84">
        <f t="shared" si="4"/>
        <v>0.51597059452028904</v>
      </c>
      <c r="P28" s="84">
        <f t="shared" si="5"/>
        <v>0.51597059452028904</v>
      </c>
      <c r="Q28" s="84">
        <f t="shared" si="5"/>
        <v>0.49666887732492726</v>
      </c>
      <c r="R28" s="84">
        <f t="shared" si="5"/>
        <v>0.37311307638456365</v>
      </c>
      <c r="S28" s="84">
        <f t="shared" si="5"/>
        <v>0.16868898482817002</v>
      </c>
      <c r="T28" s="84">
        <f t="shared" si="5"/>
        <v>7.4466556660093372E-2</v>
      </c>
      <c r="U28" s="84">
        <f t="shared" si="5"/>
        <v>3.1359007692890725E-2</v>
      </c>
      <c r="V28" s="85">
        <f t="shared" si="6"/>
        <v>27.792076201905399</v>
      </c>
      <c r="W28" s="86">
        <v>27.792076201905399</v>
      </c>
      <c r="X28" s="85">
        <f t="shared" si="0"/>
        <v>8.8022657757619804E-2</v>
      </c>
      <c r="Y28" s="87">
        <f t="shared" si="7"/>
        <v>8.8022657757619804E-2</v>
      </c>
      <c r="Z28" s="86">
        <v>8.8022657757619804E-2</v>
      </c>
      <c r="AA28" s="92">
        <v>9.4439576839910805E-2</v>
      </c>
      <c r="AB28" s="86">
        <v>9.4370120075289193E-2</v>
      </c>
      <c r="AC28" s="86">
        <v>9.6441406801161797E-2</v>
      </c>
      <c r="AD28" s="86">
        <v>9.8419663807944702E-2</v>
      </c>
      <c r="AE28" s="86">
        <v>9.9889600984333304E-2</v>
      </c>
      <c r="AF28" s="78">
        <v>3.8036597127624399</v>
      </c>
      <c r="AG28" s="78">
        <v>4.56806511304314</v>
      </c>
      <c r="AH28" s="86">
        <v>4.9567281421779201</v>
      </c>
      <c r="AI28" s="86">
        <v>5.4543032895166199</v>
      </c>
      <c r="AJ28" s="86">
        <v>5.5364181807125403</v>
      </c>
      <c r="AK28" s="229">
        <v>2.8461230389806702</v>
      </c>
      <c r="AL28" s="80">
        <f t="shared" si="8"/>
        <v>0</v>
      </c>
      <c r="AM28" s="80">
        <f t="shared" si="8"/>
        <v>0</v>
      </c>
      <c r="AN28" s="215">
        <v>3.1549999999999998</v>
      </c>
      <c r="AO28" s="78">
        <f t="shared" si="9"/>
        <v>3.1549999999999998</v>
      </c>
      <c r="AP28" s="63" t="str">
        <f t="shared" si="10"/>
        <v>HCV5Diesel</v>
      </c>
      <c r="AQ28" s="89">
        <f t="shared" si="17"/>
        <v>1</v>
      </c>
      <c r="AR28" s="55">
        <v>257</v>
      </c>
      <c r="AS28" s="90">
        <f t="shared" si="11"/>
        <v>405</v>
      </c>
      <c r="AU28" s="86">
        <v>2.8461230389806702</v>
      </c>
      <c r="AV28" s="86">
        <v>0.73235470220057197</v>
      </c>
      <c r="AW28" s="86">
        <v>6.4239707168445098E-2</v>
      </c>
      <c r="AY28" s="86">
        <f t="shared" si="14"/>
        <v>0</v>
      </c>
      <c r="AZ28" s="91">
        <f t="shared" si="12"/>
        <v>0</v>
      </c>
      <c r="BA28" s="90">
        <f t="shared" si="13"/>
        <v>-405</v>
      </c>
      <c r="BC28" s="65">
        <v>405</v>
      </c>
      <c r="BD28" s="65">
        <v>306</v>
      </c>
      <c r="BF28" s="65"/>
      <c r="BG28" s="65"/>
      <c r="BH28" s="65"/>
      <c r="BI28" s="63" t="e">
        <f t="array" ref="BI28">INDEX($BQ$22:$BQ$38,MATCH($BF28&amp;$BG28,$BN$22:$BN$38&amp;$BO$22:$BO$38,0))</f>
        <v>#N/A</v>
      </c>
      <c r="BJ28" s="65"/>
      <c r="BK28" s="65"/>
      <c r="BL28" s="65"/>
      <c r="BM28" s="65"/>
      <c r="BN28" s="65" t="s">
        <v>136</v>
      </c>
      <c r="BO28" s="65" t="s">
        <v>243</v>
      </c>
      <c r="BP28" s="63">
        <v>92563</v>
      </c>
      <c r="BQ28" s="63">
        <v>57652</v>
      </c>
      <c r="BR28" s="65"/>
      <c r="BS28" s="65"/>
      <c r="BT28" s="65"/>
    </row>
    <row r="29" spans="1:77" x14ac:dyDescent="0.25">
      <c r="A29" s="96" t="str">
        <f t="shared" si="1"/>
        <v>CV6ODS</v>
      </c>
      <c r="B29" s="96" t="str">
        <f t="shared" si="16"/>
        <v>TFHCV6ODS-E</v>
      </c>
      <c r="C29" s="96" t="s">
        <v>234</v>
      </c>
      <c r="D29" s="96" t="s">
        <v>267</v>
      </c>
      <c r="E29" s="97" t="s">
        <v>268</v>
      </c>
      <c r="F29" s="98">
        <f t="shared" si="2"/>
        <v>0.11</v>
      </c>
      <c r="G29" s="99">
        <f t="shared" si="3"/>
        <v>64512.330335483297</v>
      </c>
      <c r="H29" s="96">
        <v>110000</v>
      </c>
      <c r="I29" s="100">
        <v>64512.330335483297</v>
      </c>
      <c r="J29" s="101">
        <v>62778.924850520401</v>
      </c>
      <c r="K29" s="100">
        <v>46955.9835203494</v>
      </c>
      <c r="L29" s="100">
        <v>20285.547945611601</v>
      </c>
      <c r="M29" s="100">
        <v>8631.9302356629196</v>
      </c>
      <c r="N29" s="100">
        <v>3570.08746504808</v>
      </c>
      <c r="O29" s="102">
        <f t="shared" si="4"/>
        <v>0.58647573032257538</v>
      </c>
      <c r="P29" s="102">
        <f t="shared" si="5"/>
        <v>0.58647573032257538</v>
      </c>
      <c r="Q29" s="102">
        <f t="shared" si="5"/>
        <v>0.57071749864109456</v>
      </c>
      <c r="R29" s="102">
        <f t="shared" si="5"/>
        <v>0.42687257745772184</v>
      </c>
      <c r="S29" s="102">
        <f t="shared" si="5"/>
        <v>0.18441407223283274</v>
      </c>
      <c r="T29" s="102">
        <f t="shared" si="5"/>
        <v>7.847209305148109E-2</v>
      </c>
      <c r="U29" s="102">
        <f t="shared" si="5"/>
        <v>3.245534059134618E-2</v>
      </c>
      <c r="V29" s="103">
        <f t="shared" si="6"/>
        <v>40.292737614575302</v>
      </c>
      <c r="W29" s="104">
        <v>40.292737614575302</v>
      </c>
      <c r="X29" s="103">
        <f t="shared" si="0"/>
        <v>6.0770510906732703E-2</v>
      </c>
      <c r="Y29" s="105">
        <f t="shared" si="7"/>
        <v>6.0770510906732703E-2</v>
      </c>
      <c r="Z29" s="104">
        <v>6.0770510906732703E-2</v>
      </c>
      <c r="AA29" s="106">
        <v>6.5140074152247901E-2</v>
      </c>
      <c r="AB29" s="104">
        <v>6.5086835525467304E-2</v>
      </c>
      <c r="AC29" s="104">
        <v>6.6124396909204006E-2</v>
      </c>
      <c r="AD29" s="104">
        <v>6.7166260047415702E-2</v>
      </c>
      <c r="AE29" s="104">
        <v>6.8012622129019304E-2</v>
      </c>
      <c r="AF29" s="78">
        <v>47.831031923368201</v>
      </c>
      <c r="AG29" s="78">
        <v>66.863056666324994</v>
      </c>
      <c r="AH29" s="86">
        <v>79.894521429911194</v>
      </c>
      <c r="AI29" s="86">
        <v>106.12140587784999</v>
      </c>
      <c r="AJ29" s="86">
        <v>107.749502594289</v>
      </c>
      <c r="AK29" s="229">
        <v>61.863142535247199</v>
      </c>
      <c r="AL29" s="80">
        <f t="shared" si="8"/>
        <v>0</v>
      </c>
      <c r="AM29" s="80">
        <f t="shared" si="8"/>
        <v>0</v>
      </c>
      <c r="AN29" s="215">
        <v>102.3</v>
      </c>
      <c r="AO29" s="78">
        <f t="shared" si="9"/>
        <v>102.3</v>
      </c>
      <c r="AP29" s="63" t="str">
        <f t="shared" si="10"/>
        <v>HCV6Diesel</v>
      </c>
      <c r="AQ29" s="89">
        <f t="shared" si="17"/>
        <v>1</v>
      </c>
      <c r="AR29" s="55">
        <v>8629</v>
      </c>
      <c r="AS29" s="90">
        <f t="shared" si="11"/>
        <v>6790</v>
      </c>
      <c r="AU29" s="86">
        <v>61.863142535247199</v>
      </c>
      <c r="AV29" s="86">
        <v>17.542312198330201</v>
      </c>
      <c r="AW29" s="86">
        <v>1.64055999856381</v>
      </c>
      <c r="AY29" s="86">
        <f t="shared" si="14"/>
        <v>0</v>
      </c>
      <c r="AZ29" s="91">
        <f t="shared" si="12"/>
        <v>0</v>
      </c>
      <c r="BA29" s="90">
        <f t="shared" si="13"/>
        <v>-6790</v>
      </c>
      <c r="BC29" s="65">
        <v>6790</v>
      </c>
      <c r="BD29" s="65">
        <v>7826</v>
      </c>
      <c r="BF29" s="65"/>
      <c r="BG29" s="65"/>
      <c r="BH29" s="65"/>
      <c r="BI29" s="63" t="e">
        <f t="array" ref="BI29">INDEX($BQ$22:$BQ$38,MATCH($BF29&amp;$BG29,$BN$22:$BN$38&amp;$BO$22:$BO$38,0))</f>
        <v>#N/A</v>
      </c>
      <c r="BJ29" s="65"/>
      <c r="BK29" s="65"/>
      <c r="BL29" s="65"/>
      <c r="BM29" s="65"/>
      <c r="BN29" s="65" t="s">
        <v>269</v>
      </c>
      <c r="BO29" s="65" t="s">
        <v>237</v>
      </c>
      <c r="BP29" s="63">
        <v>4173</v>
      </c>
      <c r="BQ29" s="63">
        <v>5156</v>
      </c>
      <c r="BR29" s="65"/>
      <c r="BS29" s="65"/>
      <c r="BT29" s="65"/>
    </row>
    <row r="30" spans="1:77" x14ac:dyDescent="0.25">
      <c r="A30" s="63" t="str">
        <f t="shared" si="1"/>
        <v>CV7ODS</v>
      </c>
      <c r="B30" s="63" t="str">
        <f t="shared" si="16"/>
        <v>TFHCV7ODS-E</v>
      </c>
      <c r="C30" s="63" t="s">
        <v>234</v>
      </c>
      <c r="D30" s="63" t="s">
        <v>270</v>
      </c>
      <c r="E30" s="65" t="s">
        <v>271</v>
      </c>
      <c r="F30" s="81">
        <f t="shared" si="2"/>
        <v>0.16</v>
      </c>
      <c r="G30" s="82">
        <f t="shared" si="3"/>
        <v>92421.691229504097</v>
      </c>
      <c r="H30" s="63">
        <v>160000</v>
      </c>
      <c r="I30" s="55">
        <v>92421.691229504097</v>
      </c>
      <c r="J30" s="83">
        <v>86037.431296970695</v>
      </c>
      <c r="K30" s="55">
        <v>64155.410108243101</v>
      </c>
      <c r="L30" s="55">
        <v>28024.6432292338</v>
      </c>
      <c r="M30" s="55">
        <v>12195.371251275001</v>
      </c>
      <c r="N30" s="55">
        <v>5121.4205748258701</v>
      </c>
      <c r="O30" s="84">
        <f t="shared" si="4"/>
        <v>0.57763557018440059</v>
      </c>
      <c r="P30" s="84">
        <f t="shared" si="5"/>
        <v>0.57763557018440059</v>
      </c>
      <c r="Q30" s="84">
        <f t="shared" si="5"/>
        <v>0.5377339456060668</v>
      </c>
      <c r="R30" s="84">
        <f t="shared" si="5"/>
        <v>0.40097131317651941</v>
      </c>
      <c r="S30" s="84">
        <f t="shared" si="5"/>
        <v>0.17515402018271126</v>
      </c>
      <c r="T30" s="84">
        <f t="shared" si="5"/>
        <v>7.6221070320468751E-2</v>
      </c>
      <c r="U30" s="84">
        <f t="shared" si="5"/>
        <v>3.2008878592661688E-2</v>
      </c>
      <c r="V30" s="85">
        <f t="shared" si="6"/>
        <v>37.3258316657572</v>
      </c>
      <c r="W30" s="86">
        <v>37.3258316657572</v>
      </c>
      <c r="X30" s="85">
        <f t="shared" si="0"/>
        <v>6.5864517822129001E-2</v>
      </c>
      <c r="Y30" s="87">
        <f t="shared" si="7"/>
        <v>6.5864517822129001E-2</v>
      </c>
      <c r="Z30" s="86">
        <v>6.5864517822129001E-2</v>
      </c>
      <c r="AA30" s="92">
        <v>7.0317841528990704E-2</v>
      </c>
      <c r="AB30" s="86">
        <v>7.0234604805822207E-2</v>
      </c>
      <c r="AC30" s="86">
        <v>7.1524983519216004E-2</v>
      </c>
      <c r="AD30" s="86">
        <v>7.2864914411162496E-2</v>
      </c>
      <c r="AE30" s="86">
        <v>7.39190120279309E-2</v>
      </c>
      <c r="AF30" s="78">
        <v>13.6448452830588</v>
      </c>
      <c r="AG30" s="78">
        <v>18.295207237743401</v>
      </c>
      <c r="AH30" s="86">
        <v>21.382011031422401</v>
      </c>
      <c r="AI30" s="86">
        <v>25.874280497520701</v>
      </c>
      <c r="AJ30" s="86">
        <v>26.4741570116765</v>
      </c>
      <c r="AK30" s="229">
        <v>14.5024186740093</v>
      </c>
      <c r="AL30" s="80">
        <f t="shared" si="8"/>
        <v>0</v>
      </c>
      <c r="AM30" s="80">
        <f t="shared" si="8"/>
        <v>0</v>
      </c>
      <c r="AN30" s="215">
        <v>31.66</v>
      </c>
      <c r="AO30" s="78">
        <f t="shared" si="9"/>
        <v>31.66</v>
      </c>
      <c r="AP30" s="63" t="str">
        <f t="shared" si="10"/>
        <v>HCV7Diesel</v>
      </c>
      <c r="AQ30" s="89">
        <f t="shared" si="17"/>
        <v>1</v>
      </c>
      <c r="AR30" s="55">
        <v>1741</v>
      </c>
      <c r="AS30" s="90">
        <f t="shared" si="11"/>
        <v>2220</v>
      </c>
      <c r="AU30" s="86">
        <v>14.5024186740093</v>
      </c>
      <c r="AV30" s="86">
        <v>3.8743984997772198</v>
      </c>
      <c r="AW30" s="86">
        <v>0.34751165151233498</v>
      </c>
      <c r="AY30" s="86">
        <f t="shared" si="14"/>
        <v>0</v>
      </c>
      <c r="AZ30" s="91">
        <f t="shared" si="12"/>
        <v>0</v>
      </c>
      <c r="BA30" s="90">
        <f t="shared" si="13"/>
        <v>-2220</v>
      </c>
      <c r="BC30" s="65">
        <v>2220</v>
      </c>
      <c r="BD30" s="65">
        <v>1834</v>
      </c>
      <c r="BF30" s="65"/>
      <c r="BG30" s="65"/>
      <c r="BH30" s="65"/>
      <c r="BI30" s="63" t="e">
        <f t="array" ref="BI30">INDEX($BQ$22:$BQ$38,MATCH($BF30&amp;$BG30,$BN$22:$BN$38&amp;$BO$22:$BO$38,0))</f>
        <v>#N/A</v>
      </c>
      <c r="BJ30" s="65"/>
      <c r="BK30" s="65"/>
      <c r="BL30" s="65"/>
      <c r="BM30" s="65"/>
      <c r="BN30" s="65" t="s">
        <v>269</v>
      </c>
      <c r="BO30" s="65" t="s">
        <v>243</v>
      </c>
      <c r="BP30" s="63">
        <v>13613</v>
      </c>
      <c r="BQ30" s="63">
        <v>9690</v>
      </c>
      <c r="BR30" s="65"/>
      <c r="BS30" s="65"/>
      <c r="BT30" s="65"/>
    </row>
    <row r="31" spans="1:77" x14ac:dyDescent="0.25">
      <c r="A31" s="63" t="str">
        <f t="shared" si="1"/>
        <v>CV8ODS</v>
      </c>
      <c r="B31" s="63" t="str">
        <f t="shared" si="16"/>
        <v>TFHCV8ODS-E</v>
      </c>
      <c r="C31" s="63" t="s">
        <v>234</v>
      </c>
      <c r="D31" s="63" t="s">
        <v>272</v>
      </c>
      <c r="E31" s="65" t="s">
        <v>273</v>
      </c>
      <c r="F31" s="81">
        <f t="shared" si="2"/>
        <v>0.16</v>
      </c>
      <c r="G31" s="107">
        <f t="shared" si="3"/>
        <v>116959.183879244</v>
      </c>
      <c r="H31" s="63">
        <v>160000</v>
      </c>
      <c r="I31" s="55">
        <v>116959.183879244</v>
      </c>
      <c r="J31" s="83">
        <v>108321.14497488301</v>
      </c>
      <c r="K31" s="55">
        <v>80520.878723414993</v>
      </c>
      <c r="L31" s="55">
        <v>32476.226352001198</v>
      </c>
      <c r="M31" s="55">
        <v>13278.382623760401</v>
      </c>
      <c r="N31" s="55">
        <v>5375.2466292250701</v>
      </c>
      <c r="O31" s="84">
        <f t="shared" si="4"/>
        <v>0.73099489924527494</v>
      </c>
      <c r="P31" s="84">
        <f t="shared" si="5"/>
        <v>0.73099489924527494</v>
      </c>
      <c r="Q31" s="84">
        <f t="shared" si="5"/>
        <v>0.67700715609301876</v>
      </c>
      <c r="R31" s="84">
        <f t="shared" si="5"/>
        <v>0.50325549202134368</v>
      </c>
      <c r="S31" s="84">
        <f t="shared" si="5"/>
        <v>0.20297641470000749</v>
      </c>
      <c r="T31" s="84">
        <f t="shared" si="5"/>
        <v>8.2989891398502505E-2</v>
      </c>
      <c r="U31" s="84">
        <f t="shared" si="5"/>
        <v>3.3595291432656688E-2</v>
      </c>
      <c r="V31" s="85">
        <f t="shared" si="6"/>
        <v>37.932288748919603</v>
      </c>
      <c r="W31" s="86">
        <v>37.932288748919603</v>
      </c>
      <c r="X31" s="85">
        <f t="shared" si="0"/>
        <v>6.4937428235684005E-2</v>
      </c>
      <c r="Y31" s="87">
        <f t="shared" si="7"/>
        <v>6.4937428235684005E-2</v>
      </c>
      <c r="Z31" s="86">
        <v>6.4937428235684005E-2</v>
      </c>
      <c r="AA31" s="92">
        <v>6.9193607941341495E-2</v>
      </c>
      <c r="AB31" s="86">
        <v>6.9134613553873694E-2</v>
      </c>
      <c r="AC31" s="86">
        <v>6.9756638806478602E-2</v>
      </c>
      <c r="AD31" s="86">
        <v>7.0539322337285895E-2</v>
      </c>
      <c r="AE31" s="86">
        <v>7.1239826934415704E-2</v>
      </c>
      <c r="AF31" s="78">
        <v>0.14983068014539899</v>
      </c>
      <c r="AG31" s="78">
        <v>0.418026531752829</v>
      </c>
      <c r="AH31" s="86">
        <v>0.60449827068682804</v>
      </c>
      <c r="AI31" s="86">
        <v>1.1282532037320601</v>
      </c>
      <c r="AJ31" s="86">
        <v>1.1464635873024001</v>
      </c>
      <c r="AK31" s="229">
        <v>0.75373569008702301</v>
      </c>
      <c r="AL31" s="80">
        <f t="shared" si="8"/>
        <v>0</v>
      </c>
      <c r="AM31" s="80">
        <f t="shared" si="8"/>
        <v>0</v>
      </c>
      <c r="AN31" s="215">
        <v>1.766</v>
      </c>
      <c r="AO31" s="78">
        <f t="shared" si="9"/>
        <v>1.766</v>
      </c>
      <c r="AP31" s="63" t="str">
        <f t="shared" si="10"/>
        <v>HCV8Diesel</v>
      </c>
      <c r="AQ31" s="89">
        <f t="shared" si="17"/>
        <v>1</v>
      </c>
      <c r="AR31" s="55">
        <v>148</v>
      </c>
      <c r="AS31" s="90">
        <f t="shared" si="11"/>
        <v>51</v>
      </c>
      <c r="AU31" s="86">
        <v>0.75373569008702301</v>
      </c>
      <c r="AV31" s="86">
        <v>0.238006104554429</v>
      </c>
      <c r="AW31" s="86">
        <v>2.4141395679762E-2</v>
      </c>
      <c r="AY31" s="86">
        <f t="shared" si="14"/>
        <v>0</v>
      </c>
      <c r="AZ31" s="91">
        <f t="shared" si="12"/>
        <v>0</v>
      </c>
      <c r="BA31" s="90">
        <f t="shared" si="13"/>
        <v>-51</v>
      </c>
      <c r="BC31" s="65">
        <v>51</v>
      </c>
      <c r="BD31" s="65">
        <v>104</v>
      </c>
      <c r="BF31" s="65"/>
      <c r="BG31" s="65"/>
      <c r="BH31" s="65"/>
      <c r="BI31" s="63" t="e">
        <f t="array" ref="BI31">INDEX($BQ$22:$BQ$38,MATCH($BF31&amp;$BG31,$BN$22:$BN$38&amp;$BO$22:$BO$38,0))</f>
        <v>#N/A</v>
      </c>
      <c r="BJ31" s="65"/>
      <c r="BK31" s="65"/>
      <c r="BL31" s="65"/>
      <c r="BM31" s="65"/>
      <c r="BN31" s="65" t="s">
        <v>240</v>
      </c>
      <c r="BO31" s="65" t="s">
        <v>237</v>
      </c>
      <c r="BP31" s="63">
        <v>33168</v>
      </c>
      <c r="BQ31" s="63">
        <v>29512</v>
      </c>
      <c r="BR31" s="65"/>
      <c r="BS31" s="65"/>
      <c r="BT31" s="65"/>
    </row>
    <row r="32" spans="1:77" x14ac:dyDescent="0.25">
      <c r="A32" s="63" t="str">
        <f t="shared" si="1"/>
        <v>CV9ODS</v>
      </c>
      <c r="B32" s="63" t="str">
        <f t="shared" si="16"/>
        <v>TFHCV9ODS-E</v>
      </c>
      <c r="C32" s="63" t="s">
        <v>234</v>
      </c>
      <c r="D32" s="63" t="s">
        <v>274</v>
      </c>
      <c r="E32" s="65" t="s">
        <v>275</v>
      </c>
      <c r="F32" s="81">
        <f t="shared" si="2"/>
        <v>0.18</v>
      </c>
      <c r="G32" s="82">
        <f t="shared" si="3"/>
        <v>104002.58508794699</v>
      </c>
      <c r="H32" s="63">
        <v>180000</v>
      </c>
      <c r="I32" s="55">
        <v>104002.58508794699</v>
      </c>
      <c r="J32" s="83">
        <v>69373.326398147998</v>
      </c>
      <c r="K32" s="55">
        <v>52280.701031171899</v>
      </c>
      <c r="L32" s="55">
        <v>20947.497955455299</v>
      </c>
      <c r="M32" s="55">
        <v>8703.9677725718902</v>
      </c>
      <c r="N32" s="55">
        <v>3829.6675707590198</v>
      </c>
      <c r="O32" s="84">
        <f t="shared" si="4"/>
        <v>0.5777921393774833</v>
      </c>
      <c r="P32" s="84">
        <f t="shared" si="5"/>
        <v>0.5777921393774833</v>
      </c>
      <c r="Q32" s="84">
        <f t="shared" si="5"/>
        <v>0.3854073688786</v>
      </c>
      <c r="R32" s="84">
        <f t="shared" si="5"/>
        <v>0.29044833906206613</v>
      </c>
      <c r="S32" s="84">
        <f t="shared" si="5"/>
        <v>0.11637498864141833</v>
      </c>
      <c r="T32" s="84">
        <f t="shared" si="5"/>
        <v>4.8355376514288277E-2</v>
      </c>
      <c r="U32" s="84">
        <f t="shared" si="5"/>
        <v>2.1275930948661221E-2</v>
      </c>
      <c r="V32" s="85">
        <f t="shared" si="6"/>
        <v>48.273056219283099</v>
      </c>
      <c r="W32" s="86">
        <v>48.273056219283099</v>
      </c>
      <c r="X32" s="85">
        <f t="shared" si="0"/>
        <v>5.3663791961647903E-2</v>
      </c>
      <c r="Y32" s="87">
        <f t="shared" si="7"/>
        <v>5.3663791961647903E-2</v>
      </c>
      <c r="Z32" s="86">
        <v>5.3663791961647903E-2</v>
      </c>
      <c r="AA32" s="92">
        <v>5.4371364101907703E-2</v>
      </c>
      <c r="AB32" s="86">
        <v>5.4374543331148002E-2</v>
      </c>
      <c r="AC32" s="86">
        <v>5.4895435674524602E-2</v>
      </c>
      <c r="AD32" s="86">
        <v>5.5820318048132901E-2</v>
      </c>
      <c r="AE32" s="86">
        <v>5.7192352651667E-2</v>
      </c>
      <c r="AF32" s="78">
        <v>0.31599901474388598</v>
      </c>
      <c r="AG32" s="78">
        <v>0.494346589440812</v>
      </c>
      <c r="AH32" s="86">
        <v>0.50786196813704299</v>
      </c>
      <c r="AI32" s="86">
        <v>0.42396796687300597</v>
      </c>
      <c r="AJ32" s="86">
        <v>0.44340231551193199</v>
      </c>
      <c r="AK32" s="229">
        <v>0.19789597907123299</v>
      </c>
      <c r="AL32" s="80">
        <f t="shared" si="8"/>
        <v>0</v>
      </c>
      <c r="AM32" s="80">
        <f t="shared" si="8"/>
        <v>0</v>
      </c>
      <c r="AN32" s="215">
        <v>0.54090000000000005</v>
      </c>
      <c r="AO32" s="78">
        <f t="shared" si="9"/>
        <v>0.54090000000000005</v>
      </c>
      <c r="AP32" s="63" t="str">
        <f t="shared" si="10"/>
        <v>HCV9Diesel</v>
      </c>
      <c r="AQ32" s="89">
        <f t="shared" si="17"/>
        <v>1</v>
      </c>
      <c r="AR32" s="55">
        <v>1</v>
      </c>
      <c r="AS32" s="90">
        <f t="shared" si="11"/>
        <v>167</v>
      </c>
      <c r="AU32" s="86">
        <v>0.19789597907123299</v>
      </c>
      <c r="AV32" s="86">
        <v>3.2405837509481498E-2</v>
      </c>
      <c r="AW32" s="86">
        <v>1.3884916209454599E-3</v>
      </c>
      <c r="AY32" s="86">
        <f t="shared" si="14"/>
        <v>0</v>
      </c>
      <c r="AZ32" s="91">
        <f t="shared" si="12"/>
        <v>0</v>
      </c>
      <c r="BA32" s="90">
        <f t="shared" si="13"/>
        <v>-167</v>
      </c>
      <c r="BC32" s="65">
        <v>167</v>
      </c>
      <c r="BD32" s="65">
        <v>19</v>
      </c>
      <c r="BF32" s="65"/>
      <c r="BG32" s="65"/>
      <c r="BH32" s="65"/>
      <c r="BI32" s="63" t="e">
        <f t="array" ref="BI32">INDEX($BQ$22:$BQ$38,MATCH($BF32&amp;$BG32,$BN$22:$BN$38&amp;$BO$22:$BO$38,0))</f>
        <v>#N/A</v>
      </c>
      <c r="BJ32" s="65"/>
      <c r="BK32" s="65"/>
      <c r="BL32" s="65"/>
      <c r="BM32" s="65"/>
      <c r="BN32" s="65" t="s">
        <v>240</v>
      </c>
      <c r="BO32" s="65" t="s">
        <v>243</v>
      </c>
      <c r="BP32" s="63">
        <v>372755</v>
      </c>
      <c r="BQ32" s="63">
        <v>328229</v>
      </c>
      <c r="BR32" s="65"/>
      <c r="BS32" s="65"/>
      <c r="BT32" s="65"/>
    </row>
    <row r="33" spans="1:72" x14ac:dyDescent="0.25">
      <c r="A33" s="96" t="str">
        <f t="shared" si="1"/>
        <v>LCVODS</v>
      </c>
      <c r="B33" s="96" t="str">
        <f t="shared" si="16"/>
        <v>TFLCVODS-E</v>
      </c>
      <c r="C33" s="96" t="s">
        <v>234</v>
      </c>
      <c r="D33" s="96" t="s">
        <v>276</v>
      </c>
      <c r="E33" s="96" t="s">
        <v>277</v>
      </c>
      <c r="F33" s="98">
        <f t="shared" si="2"/>
        <v>0.04</v>
      </c>
      <c r="G33" s="99">
        <f t="shared" si="3"/>
        <v>24753.4936084117</v>
      </c>
      <c r="H33" s="96">
        <v>40000</v>
      </c>
      <c r="I33" s="100">
        <v>24753.4936084117</v>
      </c>
      <c r="J33" s="101">
        <v>24428.944976716801</v>
      </c>
      <c r="K33" s="100">
        <v>19880.903653884601</v>
      </c>
      <c r="L33" s="100">
        <v>9810.8703686831195</v>
      </c>
      <c r="M33" s="100">
        <v>4777.2385942184001</v>
      </c>
      <c r="N33" s="100">
        <v>2310.21877327025</v>
      </c>
      <c r="O33" s="102">
        <f t="shared" si="4"/>
        <v>0.61883734021029246</v>
      </c>
      <c r="P33" s="102">
        <f t="shared" si="5"/>
        <v>0.61883734021029246</v>
      </c>
      <c r="Q33" s="102">
        <f t="shared" si="5"/>
        <v>0.61072362441792005</v>
      </c>
      <c r="R33" s="102">
        <f t="shared" si="5"/>
        <v>0.49702259134711502</v>
      </c>
      <c r="S33" s="102">
        <f t="shared" si="5"/>
        <v>0.245271759217078</v>
      </c>
      <c r="T33" s="102">
        <f t="shared" si="5"/>
        <v>0.11943096485546</v>
      </c>
      <c r="U33" s="102">
        <f t="shared" si="5"/>
        <v>5.7755469331756251E-2</v>
      </c>
      <c r="V33" s="103">
        <f t="shared" si="6"/>
        <v>11.124053535325499</v>
      </c>
      <c r="W33" s="104">
        <v>11.124053535325499</v>
      </c>
      <c r="X33" s="103">
        <f t="shared" si="0"/>
        <v>0.224634152664134</v>
      </c>
      <c r="Y33" s="105">
        <f t="shared" si="7"/>
        <v>0.224634152664134</v>
      </c>
      <c r="Z33" s="104">
        <v>0.224634152664134</v>
      </c>
      <c r="AA33" s="106">
        <v>0.23594563867169499</v>
      </c>
      <c r="AB33" s="104">
        <v>0.236416891901715</v>
      </c>
      <c r="AC33" s="104">
        <v>0.237476755649043</v>
      </c>
      <c r="AD33" s="104">
        <v>0.23820734864530901</v>
      </c>
      <c r="AE33" s="104">
        <v>0.238773147737598</v>
      </c>
      <c r="AF33" s="78">
        <v>580.46073123639201</v>
      </c>
      <c r="AG33" s="78">
        <v>748.39295261018594</v>
      </c>
      <c r="AH33" s="86">
        <v>845.35637012110999</v>
      </c>
      <c r="AI33" s="86">
        <v>1151.5302002553699</v>
      </c>
      <c r="AJ33" s="86">
        <v>1024.6176041897099</v>
      </c>
      <c r="AK33" s="229">
        <v>609.23289367381597</v>
      </c>
      <c r="AL33" s="80">
        <f t="shared" si="8"/>
        <v>0</v>
      </c>
      <c r="AM33" s="80">
        <f t="shared" si="8"/>
        <v>0</v>
      </c>
      <c r="AN33" s="215">
        <v>119.2</v>
      </c>
      <c r="AO33" s="78">
        <f t="shared" si="9"/>
        <v>119.2</v>
      </c>
      <c r="AP33" s="63" t="str">
        <f t="shared" si="10"/>
        <v>LCVDiesel</v>
      </c>
      <c r="AQ33" s="89">
        <f>AR33/SUM($AR$33:$AR$34)</f>
        <v>0.74392467269385154</v>
      </c>
      <c r="AR33" s="55">
        <v>99154</v>
      </c>
      <c r="AS33" s="90">
        <f t="shared" si="11"/>
        <v>81959</v>
      </c>
      <c r="AU33" s="86">
        <v>609.23289367381597</v>
      </c>
      <c r="AV33" s="86">
        <v>311.45806994273602</v>
      </c>
      <c r="AW33" s="86">
        <v>140.911865682181</v>
      </c>
      <c r="AY33" s="86">
        <f t="shared" si="14"/>
        <v>0</v>
      </c>
      <c r="AZ33" s="91">
        <f t="shared" si="12"/>
        <v>0</v>
      </c>
      <c r="BA33" s="90">
        <f t="shared" si="13"/>
        <v>0</v>
      </c>
      <c r="BC33" s="65">
        <v>81959</v>
      </c>
      <c r="BD33" s="65">
        <v>76902</v>
      </c>
      <c r="BF33" s="65" t="s">
        <v>136</v>
      </c>
      <c r="BG33" s="65" t="s">
        <v>237</v>
      </c>
      <c r="BH33" s="90">
        <v>81959</v>
      </c>
      <c r="BI33" s="63">
        <f t="array" ref="BI33">INDEX($BQ$22:$BQ$38,MATCH($BF33&amp;$BG33,$BN$22:$BN$38&amp;$BO$22:$BO$38,0))</f>
        <v>76902</v>
      </c>
      <c r="BJ33" s="65"/>
      <c r="BK33" s="65"/>
      <c r="BL33" s="65"/>
      <c r="BM33" s="65"/>
      <c r="BN33" s="65" t="s">
        <v>240</v>
      </c>
      <c r="BO33" s="65" t="s">
        <v>245</v>
      </c>
      <c r="BP33" s="63">
        <v>0</v>
      </c>
      <c r="BQ33" s="63">
        <v>0</v>
      </c>
      <c r="BR33" s="65"/>
      <c r="BS33" s="65"/>
      <c r="BT33" s="65"/>
    </row>
    <row r="34" spans="1:72" x14ac:dyDescent="0.25">
      <c r="A34" s="63" t="str">
        <f t="shared" si="1"/>
        <v>LCVOGS</v>
      </c>
      <c r="B34" s="63" t="str">
        <f t="shared" si="16"/>
        <v>TFLCVOGS-E</v>
      </c>
      <c r="C34" s="63" t="s">
        <v>241</v>
      </c>
      <c r="D34" s="63" t="s">
        <v>276</v>
      </c>
      <c r="E34" s="63" t="s">
        <v>278</v>
      </c>
      <c r="F34" s="81">
        <f t="shared" si="2"/>
        <v>3.4999999999999996E-2</v>
      </c>
      <c r="G34" s="82">
        <f t="shared" si="3"/>
        <v>16984.001252855</v>
      </c>
      <c r="H34" s="63">
        <v>35000</v>
      </c>
      <c r="I34" s="55">
        <v>16984.001252855</v>
      </c>
      <c r="J34" s="83">
        <v>15002.6868469618</v>
      </c>
      <c r="K34" s="55">
        <v>12351.5851641552</v>
      </c>
      <c r="L34" s="55">
        <v>6353.8900619384203</v>
      </c>
      <c r="M34" s="55">
        <v>3228.5842202509998</v>
      </c>
      <c r="N34" s="55">
        <v>1629.4894595599401</v>
      </c>
      <c r="O34" s="84">
        <f t="shared" si="4"/>
        <v>0.485257178653</v>
      </c>
      <c r="P34" s="84">
        <f t="shared" si="5"/>
        <v>0.485257178653</v>
      </c>
      <c r="Q34" s="84">
        <f t="shared" si="5"/>
        <v>0.42864819562748002</v>
      </c>
      <c r="R34" s="84">
        <f t="shared" si="5"/>
        <v>0.35290243326157716</v>
      </c>
      <c r="S34" s="84">
        <f t="shared" si="5"/>
        <v>0.18153971605538344</v>
      </c>
      <c r="T34" s="84">
        <f t="shared" si="5"/>
        <v>9.2245263435742852E-2</v>
      </c>
      <c r="U34" s="84">
        <f t="shared" si="5"/>
        <v>4.6556841701712572E-2</v>
      </c>
      <c r="V34" s="85">
        <f t="shared" si="6"/>
        <v>14.176565003733501</v>
      </c>
      <c r="W34" s="86">
        <v>14.176565003733501</v>
      </c>
      <c r="X34" s="85">
        <f t="shared" si="0"/>
        <v>0.19897796018658001</v>
      </c>
      <c r="Y34" s="87">
        <f t="shared" si="7"/>
        <v>0.19897796018658001</v>
      </c>
      <c r="Z34" s="86">
        <v>0.19897796018658001</v>
      </c>
      <c r="AA34" s="92">
        <v>0.206254237709705</v>
      </c>
      <c r="AB34" s="86">
        <v>0.206726097108171</v>
      </c>
      <c r="AC34" s="86">
        <v>0.20785170508495199</v>
      </c>
      <c r="AD34" s="86">
        <v>0.20866460609364401</v>
      </c>
      <c r="AE34" s="86">
        <v>0.209312603622752</v>
      </c>
      <c r="AF34" s="78">
        <v>1353.4227402310701</v>
      </c>
      <c r="AG34" s="78">
        <v>1394.10583631081</v>
      </c>
      <c r="AH34" s="86">
        <v>1329.80249560937</v>
      </c>
      <c r="AI34" s="86">
        <v>1296.7112413349801</v>
      </c>
      <c r="AJ34" s="86">
        <v>1149.83638939547</v>
      </c>
      <c r="AK34" s="229">
        <v>721.33104862899097</v>
      </c>
      <c r="AL34" s="80">
        <f t="shared" si="8"/>
        <v>0</v>
      </c>
      <c r="AM34" s="80">
        <f t="shared" si="8"/>
        <v>0</v>
      </c>
      <c r="AN34" s="215">
        <v>94.32</v>
      </c>
      <c r="AO34" s="78">
        <f t="shared" si="9"/>
        <v>94.32</v>
      </c>
      <c r="AP34" s="63" t="str">
        <f t="shared" si="10"/>
        <v>LCVGasoline</v>
      </c>
      <c r="AQ34" s="89">
        <f>AR34/SUM($AR$33:$AR$34)</f>
        <v>0.25607532730614846</v>
      </c>
      <c r="AR34" s="55">
        <v>34131</v>
      </c>
      <c r="AS34" s="90">
        <f t="shared" si="11"/>
        <v>103039</v>
      </c>
      <c r="AU34" s="86">
        <v>721.33104862899097</v>
      </c>
      <c r="AV34" s="86">
        <v>418.48469439606998</v>
      </c>
      <c r="AW34" s="86">
        <v>227.84996179113099</v>
      </c>
      <c r="AY34" s="86">
        <f t="shared" si="14"/>
        <v>0</v>
      </c>
      <c r="AZ34" s="91">
        <f t="shared" si="12"/>
        <v>0</v>
      </c>
      <c r="BA34" s="90">
        <f t="shared" si="13"/>
        <v>-10476</v>
      </c>
      <c r="BC34" s="65">
        <v>103039</v>
      </c>
      <c r="BD34" s="65">
        <v>57652</v>
      </c>
      <c r="BF34" s="65" t="s">
        <v>136</v>
      </c>
      <c r="BG34" s="65" t="s">
        <v>243</v>
      </c>
      <c r="BH34" s="90">
        <v>92563</v>
      </c>
      <c r="BI34" s="63">
        <f t="array" ref="BI34">INDEX($BQ$22:$BQ$38,MATCH($BF34&amp;$BG34,$BN$22:$BN$38&amp;$BO$22:$BO$38,0))</f>
        <v>57652</v>
      </c>
      <c r="BJ34" s="65"/>
      <c r="BK34" s="65"/>
      <c r="BL34" s="65"/>
      <c r="BM34" s="65"/>
      <c r="BN34" s="65" t="s">
        <v>240</v>
      </c>
      <c r="BO34" s="65" t="s">
        <v>247</v>
      </c>
      <c r="BP34" s="63">
        <v>204</v>
      </c>
      <c r="BQ34" s="63">
        <v>668</v>
      </c>
      <c r="BR34" s="65"/>
      <c r="BS34" s="65"/>
      <c r="BT34" s="65"/>
    </row>
    <row r="35" spans="1:72" x14ac:dyDescent="0.25">
      <c r="A35" s="63" t="str">
        <f t="shared" si="1"/>
        <v>MBTODS</v>
      </c>
      <c r="B35" s="63" t="str">
        <f t="shared" si="16"/>
        <v>TPPUMBTODS-E</v>
      </c>
      <c r="C35" s="63" t="s">
        <v>234</v>
      </c>
      <c r="D35" s="63" t="s">
        <v>279</v>
      </c>
      <c r="E35" s="63" t="s">
        <v>280</v>
      </c>
      <c r="F35" s="81">
        <f t="shared" si="2"/>
        <v>3.4999999999999996E-2</v>
      </c>
      <c r="G35" s="82">
        <f t="shared" si="3"/>
        <v>30917.830131483901</v>
      </c>
      <c r="H35" s="78">
        <v>35000</v>
      </c>
      <c r="I35" s="55">
        <v>30917.830131483901</v>
      </c>
      <c r="J35" s="83">
        <v>30532.953139957201</v>
      </c>
      <c r="K35" s="55">
        <v>27182.8817124589</v>
      </c>
      <c r="L35" s="55">
        <v>18416.647506410402</v>
      </c>
      <c r="M35" s="55">
        <v>12453.9826161237</v>
      </c>
      <c r="N35" s="55">
        <v>8411.0396834741696</v>
      </c>
      <c r="O35" s="84">
        <f t="shared" si="4"/>
        <v>0.8833665751852543</v>
      </c>
      <c r="P35" s="84">
        <f t="shared" si="5"/>
        <v>0.8833665751852543</v>
      </c>
      <c r="Q35" s="84">
        <f t="shared" si="5"/>
        <v>0.87237008971306285</v>
      </c>
      <c r="R35" s="84">
        <f t="shared" si="5"/>
        <v>0.77665376321311141</v>
      </c>
      <c r="S35" s="84">
        <f t="shared" si="5"/>
        <v>0.52618992875458293</v>
      </c>
      <c r="T35" s="84">
        <f t="shared" si="5"/>
        <v>0.35582807474639144</v>
      </c>
      <c r="U35" s="84">
        <f t="shared" si="5"/>
        <v>0.24031541952783342</v>
      </c>
      <c r="V35" s="85">
        <f t="shared" si="6"/>
        <v>11.0775109229247</v>
      </c>
      <c r="W35" s="86">
        <v>11.0775109229247</v>
      </c>
      <c r="X35" s="85">
        <f t="shared" si="0"/>
        <v>0.226141211498956</v>
      </c>
      <c r="Y35" s="87">
        <f t="shared" si="7"/>
        <v>0.226141211498956</v>
      </c>
      <c r="Z35" s="86">
        <v>0.226141211498956</v>
      </c>
      <c r="AA35" s="92">
        <v>0.23693697386285401</v>
      </c>
      <c r="AB35" s="86">
        <v>0.23714071054781499</v>
      </c>
      <c r="AC35" s="86">
        <v>0.23771796611346999</v>
      </c>
      <c r="AD35" s="86">
        <v>0.238197153562765</v>
      </c>
      <c r="AE35" s="86">
        <v>0.23860947241442801</v>
      </c>
      <c r="AF35" s="78">
        <v>4.4221049327286899</v>
      </c>
      <c r="AG35" s="78">
        <v>13.999249671464099</v>
      </c>
      <c r="AH35" s="86">
        <v>22.300251189988199</v>
      </c>
      <c r="AI35" s="86">
        <v>69.8415661662536</v>
      </c>
      <c r="AJ35" s="86">
        <v>66.6909703537209</v>
      </c>
      <c r="AK35" s="229">
        <v>48.344847105240099</v>
      </c>
      <c r="AL35" s="80">
        <f t="shared" si="8"/>
        <v>0</v>
      </c>
      <c r="AM35" s="80">
        <f t="shared" si="8"/>
        <v>0</v>
      </c>
      <c r="AN35" s="215">
        <v>9</v>
      </c>
      <c r="AO35" s="78">
        <f t="shared" si="9"/>
        <v>9</v>
      </c>
      <c r="AP35" s="63" t="str">
        <f t="shared" si="10"/>
        <v>MBTDiesel</v>
      </c>
      <c r="AQ35" s="89">
        <f>AR35/SUM($AR$35:$AR$36)</f>
        <v>0.58515987307786188</v>
      </c>
      <c r="AR35" s="55">
        <v>11987</v>
      </c>
      <c r="AS35" s="90">
        <f t="shared" si="11"/>
        <v>1826</v>
      </c>
      <c r="AU35" s="86">
        <v>48.344847105240099</v>
      </c>
      <c r="AV35" s="86">
        <v>27.521793874852399</v>
      </c>
      <c r="AW35" s="86">
        <v>12.440088008163</v>
      </c>
      <c r="AY35" s="86">
        <f t="shared" si="14"/>
        <v>0</v>
      </c>
      <c r="AZ35" s="91">
        <f t="shared" si="12"/>
        <v>0</v>
      </c>
      <c r="BA35" s="90">
        <f t="shared" si="13"/>
        <v>2347</v>
      </c>
      <c r="BC35" s="65">
        <v>1826</v>
      </c>
      <c r="BD35" s="65">
        <v>5156</v>
      </c>
      <c r="BF35" s="65" t="s">
        <v>269</v>
      </c>
      <c r="BG35" s="65" t="s">
        <v>237</v>
      </c>
      <c r="BH35" s="90">
        <v>4173</v>
      </c>
      <c r="BI35" s="63">
        <f t="array" ref="BI35">INDEX($BQ$22:$BQ$38,MATCH($BF35&amp;$BG35,$BN$22:$BN$38&amp;$BO$22:$BO$38,0))</f>
        <v>5156</v>
      </c>
      <c r="BN35" s="65" t="s">
        <v>240</v>
      </c>
      <c r="BO35" s="65" t="s">
        <v>252</v>
      </c>
      <c r="BP35" s="63">
        <v>0</v>
      </c>
      <c r="BQ35" s="63">
        <v>0</v>
      </c>
      <c r="BR35" s="65"/>
    </row>
    <row r="36" spans="1:72" x14ac:dyDescent="0.25">
      <c r="A36" s="63" t="str">
        <f t="shared" si="1"/>
        <v>MBTOGS</v>
      </c>
      <c r="B36" s="63" t="str">
        <f t="shared" si="16"/>
        <v>TPPUMBTOGS-E</v>
      </c>
      <c r="C36" s="63" t="s">
        <v>241</v>
      </c>
      <c r="D36" s="63" t="s">
        <v>279</v>
      </c>
      <c r="E36" s="63" t="s">
        <v>281</v>
      </c>
      <c r="F36" s="81">
        <f t="shared" si="2"/>
        <v>3.4999999999999996E-2</v>
      </c>
      <c r="G36" s="82">
        <f t="shared" si="3"/>
        <v>20965.008962084201</v>
      </c>
      <c r="H36" s="78">
        <v>35000</v>
      </c>
      <c r="I36" s="55">
        <v>20965.008962084201</v>
      </c>
      <c r="J36" s="83">
        <v>20011.348468624099</v>
      </c>
      <c r="K36" s="55">
        <v>18066.774551221399</v>
      </c>
      <c r="L36" s="55">
        <v>12688.0908597256</v>
      </c>
      <c r="M36" s="55">
        <v>8816.2136668335497</v>
      </c>
      <c r="N36" s="55">
        <v>6086.20560407013</v>
      </c>
      <c r="O36" s="84">
        <f t="shared" si="4"/>
        <v>0.59900025605954865</v>
      </c>
      <c r="P36" s="84">
        <f t="shared" si="5"/>
        <v>0.59900025605954865</v>
      </c>
      <c r="Q36" s="84">
        <f t="shared" si="5"/>
        <v>0.57175281338925998</v>
      </c>
      <c r="R36" s="84">
        <f t="shared" si="5"/>
        <v>0.51619355860632565</v>
      </c>
      <c r="S36" s="84">
        <f t="shared" si="5"/>
        <v>0.36251688170644575</v>
      </c>
      <c r="T36" s="84">
        <f t="shared" si="5"/>
        <v>0.25189181905238711</v>
      </c>
      <c r="U36" s="84">
        <f t="shared" si="5"/>
        <v>0.17389158868771801</v>
      </c>
      <c r="V36" s="85">
        <f t="shared" si="6"/>
        <v>14.5644836562465</v>
      </c>
      <c r="W36" s="86">
        <v>14.5644836562465</v>
      </c>
      <c r="X36" s="85">
        <f t="shared" si="0"/>
        <v>0.19268141937712499</v>
      </c>
      <c r="Y36" s="87">
        <f t="shared" si="7"/>
        <v>0.19268141937712499</v>
      </c>
      <c r="Z36" s="86">
        <v>0.19268141937712499</v>
      </c>
      <c r="AA36" s="92">
        <v>0.2007607462921</v>
      </c>
      <c r="AB36" s="86">
        <v>0.20159853580370701</v>
      </c>
      <c r="AC36" s="86">
        <v>0.203758901219809</v>
      </c>
      <c r="AD36" s="86">
        <v>0.205400647316764</v>
      </c>
      <c r="AE36" s="86">
        <v>0.206733282045863</v>
      </c>
      <c r="AF36" s="78">
        <v>278.31356741260902</v>
      </c>
      <c r="AG36" s="78">
        <v>278.951860645625</v>
      </c>
      <c r="AH36" s="86">
        <v>261.56646550238003</v>
      </c>
      <c r="AI36" s="86">
        <v>253.885003628612</v>
      </c>
      <c r="AJ36" s="86">
        <v>223.81698991359701</v>
      </c>
      <c r="AK36" s="229">
        <v>136.09445444360699</v>
      </c>
      <c r="AL36" s="80">
        <f t="shared" si="8"/>
        <v>0</v>
      </c>
      <c r="AM36" s="80">
        <f t="shared" si="8"/>
        <v>0</v>
      </c>
      <c r="AN36" s="215">
        <v>25.31</v>
      </c>
      <c r="AO36" s="78">
        <f t="shared" si="9"/>
        <v>25.31</v>
      </c>
      <c r="AP36" s="63" t="str">
        <f t="shared" si="10"/>
        <v>MBTGasoline</v>
      </c>
      <c r="AQ36" s="89">
        <f>AR36/SUM($AR$35:$AR$36)</f>
        <v>0.41484012692213817</v>
      </c>
      <c r="AR36" s="55">
        <v>8498</v>
      </c>
      <c r="AS36" s="90">
        <f t="shared" si="11"/>
        <v>12157</v>
      </c>
      <c r="AU36" s="86">
        <v>136.09445444360699</v>
      </c>
      <c r="AV36" s="86">
        <v>75.042085398328496</v>
      </c>
      <c r="AW36" s="86">
        <v>38.060104789561997</v>
      </c>
      <c r="AY36" s="86">
        <f t="shared" si="14"/>
        <v>0</v>
      </c>
      <c r="AZ36" s="91">
        <f t="shared" si="12"/>
        <v>0</v>
      </c>
      <c r="BA36" s="90">
        <f t="shared" si="13"/>
        <v>1456</v>
      </c>
      <c r="BC36" s="65">
        <v>12157</v>
      </c>
      <c r="BD36" s="65">
        <v>9690</v>
      </c>
      <c r="BF36" s="65" t="s">
        <v>269</v>
      </c>
      <c r="BG36" s="65" t="s">
        <v>243</v>
      </c>
      <c r="BH36" s="90">
        <v>13613</v>
      </c>
      <c r="BI36" s="63">
        <f t="array" ref="BI36">INDEX($BQ$22:$BQ$38,MATCH($BF36&amp;$BG36,$BN$22:$BN$38&amp;$BO$22:$BO$38,0))</f>
        <v>9690</v>
      </c>
      <c r="BN36" s="65" t="s">
        <v>282</v>
      </c>
      <c r="BO36" s="65" t="s">
        <v>237</v>
      </c>
      <c r="BP36" s="63">
        <v>18966</v>
      </c>
      <c r="BQ36" s="63">
        <v>36164</v>
      </c>
      <c r="BR36" s="65"/>
    </row>
    <row r="37" spans="1:72" x14ac:dyDescent="0.25">
      <c r="A37" s="63" t="str">
        <f t="shared" si="1"/>
        <v>SUVODS</v>
      </c>
      <c r="B37" s="63" t="str">
        <f t="shared" si="16"/>
        <v>TPPRSUVODS-E</v>
      </c>
      <c r="C37" s="63" t="s">
        <v>234</v>
      </c>
      <c r="D37" s="63" t="s">
        <v>283</v>
      </c>
      <c r="E37" s="63" t="s">
        <v>284</v>
      </c>
      <c r="F37" s="81">
        <f t="shared" si="2"/>
        <v>2.4E-2</v>
      </c>
      <c r="G37" s="82">
        <f t="shared" si="3"/>
        <v>20405.076992301299</v>
      </c>
      <c r="H37" s="78">
        <v>24000</v>
      </c>
      <c r="I37" s="55">
        <v>20405.076992301299</v>
      </c>
      <c r="J37" s="83">
        <v>19511.180861952002</v>
      </c>
      <c r="K37" s="55">
        <v>17419.7175541467</v>
      </c>
      <c r="L37" s="55">
        <v>12050.4561057059</v>
      </c>
      <c r="M37" s="55">
        <v>8382.7765133576795</v>
      </c>
      <c r="N37" s="55">
        <v>5814.8083685512802</v>
      </c>
      <c r="O37" s="84">
        <f t="shared" si="4"/>
        <v>0.8502115413458875</v>
      </c>
      <c r="P37" s="84">
        <f t="shared" si="5"/>
        <v>0.8502115413458875</v>
      </c>
      <c r="Q37" s="84">
        <f t="shared" si="5"/>
        <v>0.81296586924800007</v>
      </c>
      <c r="R37" s="84">
        <f t="shared" si="5"/>
        <v>0.72582156475611248</v>
      </c>
      <c r="S37" s="84">
        <f t="shared" si="5"/>
        <v>0.50210233773774582</v>
      </c>
      <c r="T37" s="84">
        <f t="shared" si="5"/>
        <v>0.34928235472323665</v>
      </c>
      <c r="U37" s="84">
        <f t="shared" si="5"/>
        <v>0.24228368202297001</v>
      </c>
      <c r="V37" s="85">
        <f t="shared" si="6"/>
        <v>11.2619098186515</v>
      </c>
      <c r="W37" s="86">
        <v>11.2619098186515</v>
      </c>
      <c r="X37" s="85">
        <f t="shared" si="0"/>
        <v>0.22405960188642601</v>
      </c>
      <c r="Y37" s="87">
        <f t="shared" si="7"/>
        <v>0.22405960188642601</v>
      </c>
      <c r="Z37" s="86">
        <v>0.22405960188642601</v>
      </c>
      <c r="AA37" s="92">
        <v>0.23305744392160199</v>
      </c>
      <c r="AB37" s="86">
        <v>0.23340599419800401</v>
      </c>
      <c r="AC37" s="86">
        <v>0.23509880748513301</v>
      </c>
      <c r="AD37" s="86">
        <v>0.237131336819111</v>
      </c>
      <c r="AE37" s="86">
        <v>0.23904134817290701</v>
      </c>
      <c r="AF37" s="78">
        <v>76.403942902944607</v>
      </c>
      <c r="AG37" s="78">
        <v>167.10759375124499</v>
      </c>
      <c r="AH37" s="86">
        <v>231.73880616391401</v>
      </c>
      <c r="AI37" s="86">
        <v>439.31608188194201</v>
      </c>
      <c r="AJ37" s="86">
        <v>423.99215654706899</v>
      </c>
      <c r="AK37" s="229">
        <v>305.37671951021599</v>
      </c>
      <c r="AL37" s="80">
        <f t="shared" si="8"/>
        <v>0</v>
      </c>
      <c r="AM37" s="80">
        <f t="shared" si="8"/>
        <v>0</v>
      </c>
      <c r="AN37" s="215">
        <v>36.78</v>
      </c>
      <c r="AO37" s="78">
        <f t="shared" si="9"/>
        <v>36.78</v>
      </c>
      <c r="AP37" s="63" t="str">
        <f t="shared" si="10"/>
        <v>SUVDiesel</v>
      </c>
      <c r="AQ37" s="95">
        <f>AR37/SUM($AR$37:$AR$40)</f>
        <v>0.46134144546391248</v>
      </c>
      <c r="AR37" s="55">
        <v>47013</v>
      </c>
      <c r="AS37" s="90">
        <f t="shared" si="11"/>
        <v>18083</v>
      </c>
      <c r="AU37" s="86">
        <v>305.37671951021599</v>
      </c>
      <c r="AV37" s="86">
        <v>129.37332768050999</v>
      </c>
      <c r="AW37" s="86">
        <v>24.403832535936701</v>
      </c>
      <c r="AY37" s="86">
        <f t="shared" si="14"/>
        <v>0</v>
      </c>
      <c r="AZ37" s="91">
        <f t="shared" si="12"/>
        <v>0</v>
      </c>
      <c r="BA37" s="90">
        <f t="shared" si="13"/>
        <v>883</v>
      </c>
      <c r="BC37" s="65">
        <v>18083</v>
      </c>
      <c r="BD37" s="65">
        <v>36247</v>
      </c>
      <c r="BF37" s="65" t="s">
        <v>282</v>
      </c>
      <c r="BG37" s="65" t="s">
        <v>237</v>
      </c>
      <c r="BH37" s="90">
        <v>18966</v>
      </c>
      <c r="BI37" s="63">
        <f t="array" ref="BI37">INDEX($BQ$22:$BQ$38,MATCH($BF37&amp;$BG37,$BN$22:$BN$38&amp;$BO$22:$BO$38,0))</f>
        <v>36164</v>
      </c>
      <c r="BN37" s="65" t="s">
        <v>282</v>
      </c>
      <c r="BO37" s="65" t="s">
        <v>243</v>
      </c>
      <c r="BP37" s="63">
        <v>36313</v>
      </c>
      <c r="BQ37" s="63">
        <v>35552</v>
      </c>
      <c r="BR37" s="65"/>
    </row>
    <row r="38" spans="1:72" x14ac:dyDescent="0.25">
      <c r="A38" s="63" t="str">
        <f t="shared" si="1"/>
        <v>SUVOGS</v>
      </c>
      <c r="B38" s="63" t="str">
        <f>D38&amp;C38&amp;"H-E"</f>
        <v>TPPRSUVOGSH-E</v>
      </c>
      <c r="C38" s="63" t="s">
        <v>241</v>
      </c>
      <c r="D38" s="63" t="s">
        <v>283</v>
      </c>
      <c r="E38" s="63" t="s">
        <v>285</v>
      </c>
      <c r="F38" s="81">
        <f t="shared" si="2"/>
        <v>2.4E-2</v>
      </c>
      <c r="G38" s="82">
        <f t="shared" si="3"/>
        <v>22250.436222693301</v>
      </c>
      <c r="H38" s="78">
        <v>24000</v>
      </c>
      <c r="I38" s="55">
        <v>22250.436222693301</v>
      </c>
      <c r="J38" s="83">
        <v>19821.569272195698</v>
      </c>
      <c r="K38" s="55">
        <v>17606.8432071348</v>
      </c>
      <c r="L38" s="55">
        <v>11983.6448540203</v>
      </c>
      <c r="M38" s="55">
        <v>8326.9925966743795</v>
      </c>
      <c r="N38" s="55">
        <v>5878.6372192737799</v>
      </c>
      <c r="O38" s="84">
        <f t="shared" si="4"/>
        <v>0.92710150927888757</v>
      </c>
      <c r="P38" s="84">
        <f t="shared" si="5"/>
        <v>0.92710150927888757</v>
      </c>
      <c r="Q38" s="84">
        <f t="shared" si="5"/>
        <v>0.82589871967482076</v>
      </c>
      <c r="R38" s="84">
        <f t="shared" si="5"/>
        <v>0.73361846696394994</v>
      </c>
      <c r="S38" s="84">
        <f t="shared" si="5"/>
        <v>0.49931853558417916</v>
      </c>
      <c r="T38" s="84">
        <f t="shared" si="5"/>
        <v>0.34695802486143246</v>
      </c>
      <c r="U38" s="84">
        <f t="shared" si="5"/>
        <v>0.24494321746974082</v>
      </c>
      <c r="V38" s="85">
        <f t="shared" si="6"/>
        <v>6.8382247609900997</v>
      </c>
      <c r="W38" s="86">
        <v>6.8382247609900997</v>
      </c>
      <c r="X38" s="85">
        <f t="shared" si="0"/>
        <v>0.41826030251072899</v>
      </c>
      <c r="Y38" s="87">
        <f t="shared" si="7"/>
        <v>0.41826030251072899</v>
      </c>
      <c r="Z38" s="86">
        <v>0.41826030251072899</v>
      </c>
      <c r="AA38" s="92">
        <v>0.42759293682001998</v>
      </c>
      <c r="AB38" s="86">
        <v>0.42775501230198898</v>
      </c>
      <c r="AC38" s="86">
        <v>0.42938928409693999</v>
      </c>
      <c r="AD38" s="86">
        <v>0.43322071824803499</v>
      </c>
      <c r="AE38" s="86">
        <v>0.43867505244828803</v>
      </c>
      <c r="AF38" s="78">
        <v>0</v>
      </c>
      <c r="AG38" s="78">
        <v>0.33093869359735401</v>
      </c>
      <c r="AH38" s="86">
        <v>0.52182555211336101</v>
      </c>
      <c r="AI38" s="86">
        <v>0.80312517525851201</v>
      </c>
      <c r="AJ38" s="86">
        <v>0.78934356053377797</v>
      </c>
      <c r="AK38" s="229">
        <v>0.60265953422099805</v>
      </c>
      <c r="AL38" s="80">
        <f t="shared" si="8"/>
        <v>0</v>
      </c>
      <c r="AM38" s="80">
        <f t="shared" si="8"/>
        <v>0</v>
      </c>
      <c r="AN38" s="215">
        <v>3.7229999999999999E-2</v>
      </c>
      <c r="AO38" s="78">
        <f t="shared" si="9"/>
        <v>3.7229999999999999E-2</v>
      </c>
      <c r="AP38" s="63" t="str">
        <f t="shared" si="10"/>
        <v>SUVHybridGasoline</v>
      </c>
      <c r="AQ38" s="95">
        <f>AR38/SUM($AR$37:$AR$40)</f>
        <v>7.1635346646386339E-4</v>
      </c>
      <c r="AR38" s="55">
        <v>73</v>
      </c>
      <c r="AS38" s="90">
        <f t="shared" si="11"/>
        <v>0</v>
      </c>
      <c r="AU38" s="86">
        <v>0.60265953422099805</v>
      </c>
      <c r="AV38" s="86">
        <v>0.232042144863953</v>
      </c>
      <c r="AW38" s="86">
        <v>2.72153954567123E-2</v>
      </c>
      <c r="AY38" s="86">
        <f t="shared" si="14"/>
        <v>0</v>
      </c>
      <c r="AZ38" s="91">
        <f t="shared" si="12"/>
        <v>0</v>
      </c>
      <c r="BA38" s="90">
        <f t="shared" si="13"/>
        <v>0</v>
      </c>
      <c r="BC38" s="65">
        <v>0</v>
      </c>
      <c r="BD38" s="65">
        <v>93</v>
      </c>
      <c r="BF38" s="65" t="s">
        <v>282</v>
      </c>
      <c r="BG38" s="65" t="s">
        <v>247</v>
      </c>
      <c r="BH38" s="90">
        <v>0</v>
      </c>
      <c r="BI38" s="63">
        <f t="array" ref="BI38">INDEX($BQ$22:$BQ$38,MATCH($BF38&amp;$BG38,$BN$22:$BN$38&amp;$BO$22:$BO$38,0))</f>
        <v>157</v>
      </c>
      <c r="BN38" s="65" t="s">
        <v>282</v>
      </c>
      <c r="BO38" s="65" t="s">
        <v>247</v>
      </c>
      <c r="BP38" s="63">
        <v>0</v>
      </c>
      <c r="BQ38" s="63">
        <v>157</v>
      </c>
      <c r="BR38" s="65"/>
    </row>
    <row r="39" spans="1:72" x14ac:dyDescent="0.25">
      <c r="A39" s="63" t="str">
        <f t="shared" si="1"/>
        <v>SUVOGS</v>
      </c>
      <c r="B39" s="63" t="str">
        <f>D39&amp;C39&amp;"-E"</f>
        <v>TPPRSUVOGS-E</v>
      </c>
      <c r="C39" s="63" t="s">
        <v>241</v>
      </c>
      <c r="D39" s="63" t="s">
        <v>283</v>
      </c>
      <c r="E39" s="63" t="s">
        <v>286</v>
      </c>
      <c r="F39" s="81">
        <f t="shared" si="2"/>
        <v>2.4E-2</v>
      </c>
      <c r="G39" s="82">
        <f t="shared" si="3"/>
        <v>19920.095193486901</v>
      </c>
      <c r="H39" s="78">
        <v>24000</v>
      </c>
      <c r="I39" s="55">
        <v>19920.095193486901</v>
      </c>
      <c r="J39" s="83">
        <v>19247.904422146901</v>
      </c>
      <c r="K39" s="55">
        <v>17221.578522895001</v>
      </c>
      <c r="L39" s="55">
        <v>11981.3118881143</v>
      </c>
      <c r="M39" s="55">
        <v>8363.3055022655299</v>
      </c>
      <c r="N39" s="55">
        <v>5811.1845750912098</v>
      </c>
      <c r="O39" s="84">
        <f t="shared" si="4"/>
        <v>0.83000396639528751</v>
      </c>
      <c r="P39" s="84">
        <f t="shared" si="5"/>
        <v>0.83000396639528751</v>
      </c>
      <c r="Q39" s="84">
        <f t="shared" si="5"/>
        <v>0.80199601758945427</v>
      </c>
      <c r="R39" s="84">
        <f t="shared" si="5"/>
        <v>0.71756577178729175</v>
      </c>
      <c r="S39" s="84">
        <f t="shared" si="5"/>
        <v>0.49922132867142915</v>
      </c>
      <c r="T39" s="84">
        <f t="shared" si="5"/>
        <v>0.34847106259439709</v>
      </c>
      <c r="U39" s="84">
        <f t="shared" si="5"/>
        <v>0.24213269062880041</v>
      </c>
      <c r="V39" s="85">
        <f t="shared" si="6"/>
        <v>13.551554667779801</v>
      </c>
      <c r="W39" s="86">
        <v>13.551554667779801</v>
      </c>
      <c r="X39" s="85">
        <f t="shared" si="0"/>
        <v>0.20690739913063799</v>
      </c>
      <c r="Y39" s="87">
        <f t="shared" si="7"/>
        <v>0.20690739913063799</v>
      </c>
      <c r="Z39" s="86">
        <v>0.20690739913063799</v>
      </c>
      <c r="AA39" s="92">
        <v>0.21576687545224399</v>
      </c>
      <c r="AB39" s="86">
        <v>0.21618578391000501</v>
      </c>
      <c r="AC39" s="86">
        <v>0.218019202930891</v>
      </c>
      <c r="AD39" s="86">
        <v>0.220066514706491</v>
      </c>
      <c r="AE39" s="86">
        <v>0.22191326959965599</v>
      </c>
      <c r="AF39" s="78">
        <v>107.841116769957</v>
      </c>
      <c r="AG39" s="78">
        <v>203.048420366665</v>
      </c>
      <c r="AH39" s="86">
        <v>269.85381765315498</v>
      </c>
      <c r="AI39" s="86">
        <v>476.243900144387</v>
      </c>
      <c r="AJ39" s="86">
        <v>456.37773432999398</v>
      </c>
      <c r="AK39" s="229">
        <v>321.47565435311702</v>
      </c>
      <c r="AL39" s="80">
        <f t="shared" si="8"/>
        <v>0</v>
      </c>
      <c r="AM39" s="80">
        <f t="shared" si="8"/>
        <v>0</v>
      </c>
      <c r="AN39" s="215">
        <v>42.48</v>
      </c>
      <c r="AO39" s="78">
        <f t="shared" si="9"/>
        <v>42.48</v>
      </c>
      <c r="AP39" s="63" t="str">
        <f t="shared" si="10"/>
        <v>SUVGasoline</v>
      </c>
      <c r="AQ39" s="95">
        <f>AR39/SUM($AR$37:$AR$40)</f>
        <v>0.53794220106962365</v>
      </c>
      <c r="AR39" s="55">
        <v>54819</v>
      </c>
      <c r="AS39" s="90">
        <f t="shared" si="11"/>
        <v>27396</v>
      </c>
      <c r="AU39" s="86">
        <v>321.47565435311702</v>
      </c>
      <c r="AV39" s="86">
        <v>137.127378281734</v>
      </c>
      <c r="AW39" s="86">
        <v>28.016452324409499</v>
      </c>
      <c r="AY39" s="86">
        <f t="shared" si="14"/>
        <v>0</v>
      </c>
      <c r="AZ39" s="91">
        <f t="shared" si="12"/>
        <v>0</v>
      </c>
      <c r="BA39" s="90">
        <f t="shared" si="13"/>
        <v>8917</v>
      </c>
      <c r="BC39" s="65">
        <v>27396</v>
      </c>
      <c r="BD39" s="65">
        <v>35469</v>
      </c>
      <c r="BF39" s="65" t="s">
        <v>282</v>
      </c>
      <c r="BG39" s="65" t="s">
        <v>243</v>
      </c>
      <c r="BH39" s="90">
        <v>36313</v>
      </c>
      <c r="BI39" s="63">
        <f t="array" ref="BI39">INDEX($BQ$22:$BQ$38,MATCH($BF39&amp;$BG39,$BN$22:$BN$38&amp;$BO$22:$BO$38,0))</f>
        <v>35552</v>
      </c>
      <c r="BR39" s="65"/>
    </row>
    <row r="40" spans="1:72" x14ac:dyDescent="0.25">
      <c r="A40" s="63" t="str">
        <f t="shared" si="1"/>
        <v>SUVELC</v>
      </c>
      <c r="B40" s="63" t="str">
        <f>D40&amp;C40&amp;"-E"</f>
        <v>TPPRSUVELC-E</v>
      </c>
      <c r="C40" s="63" t="s">
        <v>250</v>
      </c>
      <c r="D40" s="63" t="s">
        <v>283</v>
      </c>
      <c r="E40" s="63" t="s">
        <v>287</v>
      </c>
      <c r="F40" s="81">
        <f t="shared" si="2"/>
        <v>2.4E-2</v>
      </c>
      <c r="G40" s="82">
        <f t="shared" si="3"/>
        <v>21358.407707781298</v>
      </c>
      <c r="H40" s="78">
        <v>24000</v>
      </c>
      <c r="I40" s="94">
        <f>I22</f>
        <v>21358.407707781298</v>
      </c>
      <c r="J40" s="108">
        <f t="shared" ref="J40:N40" si="18">J22</f>
        <v>21176.992852249601</v>
      </c>
      <c r="K40" s="94">
        <f t="shared" si="18"/>
        <v>18784.2219075748</v>
      </c>
      <c r="L40" s="94">
        <f t="shared" si="18"/>
        <v>12612.1000996887</v>
      </c>
      <c r="M40" s="94">
        <f t="shared" si="18"/>
        <v>8490.9030310877897</v>
      </c>
      <c r="N40" s="94">
        <f t="shared" si="18"/>
        <v>5732.69771320774</v>
      </c>
      <c r="O40" s="84">
        <f t="shared" si="4"/>
        <v>0.88993365449088746</v>
      </c>
      <c r="P40" s="84">
        <f t="shared" si="5"/>
        <v>0.88993365449088746</v>
      </c>
      <c r="Q40" s="84">
        <f t="shared" si="5"/>
        <v>0.88237470217706671</v>
      </c>
      <c r="R40" s="84">
        <f t="shared" si="5"/>
        <v>0.78267591281561666</v>
      </c>
      <c r="S40" s="84">
        <f t="shared" si="5"/>
        <v>0.52550417082036249</v>
      </c>
      <c r="T40" s="84">
        <f t="shared" si="5"/>
        <v>0.35378762629532456</v>
      </c>
      <c r="U40" s="84">
        <f t="shared" si="5"/>
        <v>0.23886240471698916</v>
      </c>
      <c r="V40" s="85">
        <f t="shared" si="6"/>
        <v>0</v>
      </c>
      <c r="W40" s="86">
        <v>0</v>
      </c>
      <c r="X40" s="85">
        <f t="shared" si="0"/>
        <v>1.4770000000000001</v>
      </c>
      <c r="Y40" s="87">
        <f t="shared" si="7"/>
        <v>1.4770000000000001</v>
      </c>
      <c r="Z40" s="109">
        <f>TREND(AA40:AE40,AA$16:AE$16,Z$16)</f>
        <v>1.4770000000000001</v>
      </c>
      <c r="AA40" s="110">
        <f>TREND(AB40:AE40,AB$16:AE$16,AA$16)</f>
        <v>1.4770000000000001</v>
      </c>
      <c r="AB40" s="86">
        <v>1.4770000000000001</v>
      </c>
      <c r="AC40" s="86">
        <v>1.4770000000000001</v>
      </c>
      <c r="AD40" s="86">
        <v>1.4770000000000001</v>
      </c>
      <c r="AE40" s="86">
        <v>1.4770000000000001</v>
      </c>
      <c r="AF40" s="78">
        <v>0</v>
      </c>
      <c r="AG40" s="78">
        <v>0</v>
      </c>
      <c r="AH40" s="78">
        <v>0</v>
      </c>
      <c r="AI40" s="86">
        <v>0</v>
      </c>
      <c r="AJ40" s="86">
        <v>0</v>
      </c>
      <c r="AK40" s="229">
        <v>0</v>
      </c>
      <c r="AL40" s="80">
        <f t="shared" si="8"/>
        <v>0</v>
      </c>
      <c r="AM40" s="80">
        <f t="shared" si="8"/>
        <v>0</v>
      </c>
      <c r="AN40" s="215">
        <v>0</v>
      </c>
      <c r="AO40" s="78">
        <f t="shared" si="9"/>
        <v>0</v>
      </c>
      <c r="AP40" s="63" t="str">
        <f t="shared" si="10"/>
        <v>SUVElectric</v>
      </c>
      <c r="AQ40" s="89">
        <f>AR40/SUM($AR$37:$AR$40)</f>
        <v>0</v>
      </c>
      <c r="AR40" s="55">
        <v>0</v>
      </c>
      <c r="AS40" s="90">
        <f t="shared" si="11"/>
        <v>0</v>
      </c>
      <c r="AU40" s="79">
        <v>3.40079886434624E-3</v>
      </c>
      <c r="AV40" s="79">
        <v>1.4715177646857701E-3</v>
      </c>
      <c r="AW40" s="79">
        <v>1.8431831128663001E-4</v>
      </c>
      <c r="AY40" s="86">
        <f t="shared" si="14"/>
        <v>3.40079886434624E-3</v>
      </c>
      <c r="AZ40" s="91">
        <f t="shared" si="12"/>
        <v>0</v>
      </c>
      <c r="BA40" s="90">
        <f t="shared" si="13"/>
        <v>36314</v>
      </c>
      <c r="BC40" s="65">
        <v>0</v>
      </c>
      <c r="BD40" s="65">
        <v>0</v>
      </c>
      <c r="BF40" s="65" t="s">
        <v>282</v>
      </c>
      <c r="BG40" s="65" t="s">
        <v>243</v>
      </c>
      <c r="BH40" s="90">
        <v>36314</v>
      </c>
      <c r="BI40" s="63">
        <f t="array" ref="BI40">INDEX($BQ$22:$BQ$38,MATCH($BF40&amp;$BG40,$BN$22:$BN$38&amp;$BO$22:$BO$38,0))</f>
        <v>35552</v>
      </c>
      <c r="BR40" s="65"/>
    </row>
    <row r="41" spans="1:72" x14ac:dyDescent="0.25">
      <c r="A41" s="63" t="str">
        <f t="shared" si="1"/>
        <v>MOTOGS</v>
      </c>
      <c r="B41" s="63" t="s">
        <v>288</v>
      </c>
      <c r="C41" s="63" t="s">
        <v>241</v>
      </c>
      <c r="D41" s="63" t="s">
        <v>289</v>
      </c>
      <c r="E41" s="63" t="s">
        <v>290</v>
      </c>
      <c r="F41" s="81">
        <f t="shared" si="2"/>
        <v>1.4999999999999999E-2</v>
      </c>
      <c r="G41" s="82">
        <f t="shared" si="3"/>
        <v>11451.6721676383</v>
      </c>
      <c r="H41" s="78">
        <v>15000</v>
      </c>
      <c r="I41" s="55">
        <v>11451.6721676383</v>
      </c>
      <c r="J41" s="83">
        <v>11116.953059764701</v>
      </c>
      <c r="K41" s="55">
        <v>10096.559391532101</v>
      </c>
      <c r="L41" s="55">
        <v>7345.1771465823203</v>
      </c>
      <c r="M41" s="55">
        <v>5282.3949554629799</v>
      </c>
      <c r="N41" s="55">
        <v>3714.2798699165101</v>
      </c>
      <c r="O41" s="84">
        <f t="shared" si="4"/>
        <v>0.7634448111758867</v>
      </c>
      <c r="P41" s="84">
        <f t="shared" si="5"/>
        <v>0.7634448111758867</v>
      </c>
      <c r="Q41" s="84">
        <f t="shared" si="5"/>
        <v>0.7411302039843134</v>
      </c>
      <c r="R41" s="84">
        <f t="shared" si="5"/>
        <v>0.67310395943547341</v>
      </c>
      <c r="S41" s="84">
        <f t="shared" si="5"/>
        <v>0.48967847643882134</v>
      </c>
      <c r="T41" s="84">
        <f t="shared" si="5"/>
        <v>0.35215966369753199</v>
      </c>
      <c r="U41" s="84">
        <f t="shared" si="5"/>
        <v>0.247618657994434</v>
      </c>
      <c r="V41" s="85">
        <f t="shared" si="6"/>
        <v>4.9995594866529798</v>
      </c>
      <c r="W41" s="86">
        <v>4.9995594866529798</v>
      </c>
      <c r="X41" s="85">
        <f t="shared" si="0"/>
        <v>0.56040000000000001</v>
      </c>
      <c r="Y41" s="87">
        <f t="shared" si="7"/>
        <v>0.56040000000000001</v>
      </c>
      <c r="Z41" s="111">
        <v>0.56040000000000001</v>
      </c>
      <c r="AA41" s="92">
        <v>0.58484684820594601</v>
      </c>
      <c r="AB41" s="92">
        <v>0.58792203407525001</v>
      </c>
      <c r="AC41" s="92">
        <v>0.59899195036072195</v>
      </c>
      <c r="AD41" s="92">
        <v>0.60882557636547696</v>
      </c>
      <c r="AE41" s="92">
        <v>0.61566719645728296</v>
      </c>
      <c r="AF41" s="78">
        <v>281.57429249367499</v>
      </c>
      <c r="AG41" s="78">
        <v>372.534035064303</v>
      </c>
      <c r="AH41" s="78">
        <v>418.16208070848103</v>
      </c>
      <c r="AI41" s="86">
        <v>532.77109028187397</v>
      </c>
      <c r="AJ41" s="86">
        <v>480.39595774755702</v>
      </c>
      <c r="AK41" s="229">
        <v>247.18185019438701</v>
      </c>
      <c r="AL41" s="80">
        <f t="shared" si="8"/>
        <v>0</v>
      </c>
      <c r="AM41" s="80">
        <f t="shared" si="8"/>
        <v>0</v>
      </c>
      <c r="AN41" s="215">
        <v>10.127080654417099</v>
      </c>
      <c r="AO41" s="78">
        <f t="shared" si="9"/>
        <v>10.127080654417099</v>
      </c>
      <c r="AP41" s="63" t="str">
        <f t="shared" si="10"/>
        <v>MotoGasoline</v>
      </c>
      <c r="AQ41" s="89">
        <f>AR41/AR41</f>
        <v>1</v>
      </c>
      <c r="AR41" s="55">
        <v>35900</v>
      </c>
      <c r="AS41" s="90">
        <f t="shared" si="11"/>
        <v>36121</v>
      </c>
      <c r="AU41" s="79">
        <v>116.862521187445</v>
      </c>
      <c r="AV41" s="79">
        <v>16.186766778988599</v>
      </c>
      <c r="AW41" s="79">
        <v>0.498567299787399</v>
      </c>
      <c r="AY41" s="86">
        <f t="shared" si="14"/>
        <v>-130.31932900694201</v>
      </c>
      <c r="AZ41" s="91">
        <f t="shared" si="12"/>
        <v>0</v>
      </c>
      <c r="BA41" s="90">
        <f t="shared" si="13"/>
        <v>-36121</v>
      </c>
      <c r="BC41" s="65">
        <v>36121</v>
      </c>
      <c r="BD41" s="65">
        <v>35942</v>
      </c>
      <c r="BF41" s="65"/>
      <c r="BG41" s="65"/>
      <c r="BH41" s="90"/>
      <c r="BR41" s="65"/>
    </row>
    <row r="42" spans="1:72" x14ac:dyDescent="0.25">
      <c r="A42" s="63" t="str">
        <f t="shared" si="1"/>
        <v>MERELC</v>
      </c>
      <c r="B42" s="63" t="s">
        <v>291</v>
      </c>
      <c r="C42" s="63" t="s">
        <v>250</v>
      </c>
      <c r="D42" s="63" t="str">
        <f>LEFT(B42,7)</f>
        <v>TPPUMER</v>
      </c>
      <c r="E42" s="63" t="s">
        <v>292</v>
      </c>
      <c r="F42" s="81">
        <f t="shared" si="2"/>
        <v>1</v>
      </c>
      <c r="G42" s="82">
        <f t="shared" si="3"/>
        <v>0</v>
      </c>
      <c r="H42" s="90">
        <v>1000000</v>
      </c>
      <c r="O42" s="84">
        <v>1</v>
      </c>
      <c r="P42" s="84">
        <f>O42</f>
        <v>1</v>
      </c>
      <c r="Q42" s="84"/>
      <c r="R42" s="63">
        <f>O42</f>
        <v>1</v>
      </c>
      <c r="S42" s="63">
        <f>R42</f>
        <v>1</v>
      </c>
      <c r="T42" s="63">
        <f>S42</f>
        <v>1</v>
      </c>
      <c r="U42" s="63">
        <f>T42</f>
        <v>1</v>
      </c>
      <c r="V42" s="85">
        <f t="shared" si="6"/>
        <v>0</v>
      </c>
      <c r="X42" s="85">
        <f>15.8/AN42</f>
        <v>7.0026980278615358</v>
      </c>
      <c r="Z42" s="92">
        <f>X42</f>
        <v>7.0026980278615358</v>
      </c>
      <c r="AA42" s="92"/>
      <c r="AB42" s="112">
        <f t="shared" ref="AB42:AB48" si="19">Z42</f>
        <v>7.0026980278615358</v>
      </c>
      <c r="AC42" s="112">
        <f t="shared" ref="AC42:AE48" si="20">AB42</f>
        <v>7.0026980278615358</v>
      </c>
      <c r="AD42" s="112">
        <f t="shared" si="20"/>
        <v>7.0026980278615358</v>
      </c>
      <c r="AE42" s="112">
        <f t="shared" si="20"/>
        <v>7.0026980278615358</v>
      </c>
      <c r="AF42" s="112">
        <f>AN42*X42</f>
        <v>15.8</v>
      </c>
      <c r="AG42" s="78">
        <f>AF42</f>
        <v>15.8</v>
      </c>
      <c r="AH42" s="78">
        <f>AG42</f>
        <v>15.8</v>
      </c>
      <c r="AI42" s="79">
        <f>AH42</f>
        <v>15.8</v>
      </c>
      <c r="AJ42" s="79">
        <f>AI42</f>
        <v>15.8</v>
      </c>
      <c r="AK42" s="230">
        <f t="shared" ref="AK42" si="21">AU42*AU$12</f>
        <v>12.64</v>
      </c>
      <c r="AL42" s="80">
        <f t="shared" si="8"/>
        <v>0</v>
      </c>
      <c r="AM42" s="80">
        <f t="shared" si="8"/>
        <v>0</v>
      </c>
      <c r="AN42" s="216">
        <f>[2]EB_2017!BD82/1000</f>
        <v>2.2562732159999994</v>
      </c>
      <c r="AO42" s="78">
        <v>2.37</v>
      </c>
      <c r="AT42" s="55">
        <f>AJ42</f>
        <v>15.8</v>
      </c>
      <c r="AU42" s="79">
        <f>AT42</f>
        <v>15.8</v>
      </c>
      <c r="AV42" s="79">
        <f>AU42</f>
        <v>15.8</v>
      </c>
      <c r="AW42" s="79">
        <f>AV42</f>
        <v>15.8</v>
      </c>
      <c r="AY42" s="86">
        <f t="shared" si="14"/>
        <v>3.16</v>
      </c>
      <c r="AZ42" s="65"/>
      <c r="BA42" s="65"/>
      <c r="BB42" s="65"/>
      <c r="BC42" s="65"/>
      <c r="BE42" s="65"/>
      <c r="BF42" s="65"/>
    </row>
    <row r="43" spans="1:72" x14ac:dyDescent="0.25">
      <c r="A43" s="63" t="str">
        <f t="shared" si="1"/>
        <v>SUVGAS</v>
      </c>
      <c r="B43" s="63" t="s">
        <v>293</v>
      </c>
      <c r="C43" s="63" t="s">
        <v>294</v>
      </c>
      <c r="D43" s="63" t="str">
        <f>D39</f>
        <v>TPPRSUV</v>
      </c>
      <c r="E43" s="63" t="s">
        <v>295</v>
      </c>
      <c r="F43" s="81">
        <f t="shared" si="2"/>
        <v>1.9920095193486899E-2</v>
      </c>
      <c r="G43" s="82">
        <f t="shared" si="3"/>
        <v>19920.095193486901</v>
      </c>
      <c r="H43" s="90">
        <f t="shared" ref="H43:H48" si="22">I43</f>
        <v>19920.095193486901</v>
      </c>
      <c r="I43" s="90">
        <f>I39</f>
        <v>19920.095193486901</v>
      </c>
      <c r="J43" s="90"/>
      <c r="K43" s="90">
        <f>K39</f>
        <v>17221.578522895001</v>
      </c>
      <c r="L43" s="90">
        <f>L39</f>
        <v>11981.3118881143</v>
      </c>
      <c r="M43" s="90">
        <f>M39</f>
        <v>8363.3055022655299</v>
      </c>
      <c r="N43" s="90">
        <f>N39</f>
        <v>5811.1845750912098</v>
      </c>
      <c r="O43" s="84">
        <f t="shared" ref="O43:O49" si="23">P43</f>
        <v>0.83000396639528751</v>
      </c>
      <c r="P43" s="63">
        <f>P39</f>
        <v>0.83000396639528751</v>
      </c>
      <c r="R43" s="63">
        <f>R39</f>
        <v>0.71756577178729175</v>
      </c>
      <c r="S43" s="63">
        <f>S39</f>
        <v>0.49922132867142915</v>
      </c>
      <c r="T43" s="63">
        <f>T39</f>
        <v>0.34847106259439709</v>
      </c>
      <c r="U43" s="63">
        <f>U39</f>
        <v>0.24213269062880041</v>
      </c>
      <c r="V43" s="85">
        <f t="shared" si="6"/>
        <v>13.551554667779801</v>
      </c>
      <c r="W43" s="85">
        <f>W39</f>
        <v>13.551554667779801</v>
      </c>
      <c r="X43" s="85">
        <f t="shared" ref="X43:X48" si="24">Z43</f>
        <v>0.2275981390437018</v>
      </c>
      <c r="Z43" s="63">
        <f>Y39*1.1</f>
        <v>0.2275981390437018</v>
      </c>
      <c r="AB43" s="112">
        <f t="shared" si="19"/>
        <v>0.2275981390437018</v>
      </c>
      <c r="AC43" s="112">
        <f t="shared" si="20"/>
        <v>0.2275981390437018</v>
      </c>
      <c r="AD43" s="112">
        <f t="shared" si="20"/>
        <v>0.2275981390437018</v>
      </c>
      <c r="AE43" s="112">
        <f t="shared" si="20"/>
        <v>0.2275981390437018</v>
      </c>
      <c r="AF43" s="63">
        <f>AF39*0.02</f>
        <v>2.15682233539914</v>
      </c>
      <c r="AG43" s="63">
        <f t="shared" ref="AG43:AK43" si="25">AG39*0.05</f>
        <v>10.15242101833325</v>
      </c>
      <c r="AH43" s="63">
        <f t="shared" si="25"/>
        <v>13.492690882657749</v>
      </c>
      <c r="AI43" s="63">
        <f t="shared" si="25"/>
        <v>23.812195007219351</v>
      </c>
      <c r="AJ43" s="63">
        <f t="shared" si="25"/>
        <v>22.818886716499701</v>
      </c>
      <c r="AK43" s="63">
        <f t="shared" si="25"/>
        <v>16.073782717655853</v>
      </c>
      <c r="AL43" s="63">
        <f>AL39</f>
        <v>0</v>
      </c>
      <c r="AM43" s="63">
        <f>AM39</f>
        <v>0</v>
      </c>
      <c r="AN43" s="86"/>
      <c r="AQ43" s="67">
        <v>0</v>
      </c>
    </row>
    <row r="44" spans="1:72" x14ac:dyDescent="0.25">
      <c r="A44" s="63" t="str">
        <f t="shared" si="1"/>
        <v>CARGAS</v>
      </c>
      <c r="B44" s="63" t="s">
        <v>296</v>
      </c>
      <c r="C44" s="63" t="s">
        <v>294</v>
      </c>
      <c r="D44" s="63" t="str">
        <f>D22</f>
        <v>TPPRCAR</v>
      </c>
      <c r="E44" s="63" t="s">
        <v>297</v>
      </c>
      <c r="F44" s="81">
        <f t="shared" si="2"/>
        <v>2.1358407707781298E-2</v>
      </c>
      <c r="G44" s="82">
        <f t="shared" si="3"/>
        <v>21358.407707781298</v>
      </c>
      <c r="H44" s="90">
        <f t="shared" si="22"/>
        <v>21358.407707781298</v>
      </c>
      <c r="I44" s="90">
        <f>I22</f>
        <v>21358.407707781298</v>
      </c>
      <c r="J44" s="90"/>
      <c r="K44" s="90">
        <f>K22</f>
        <v>18784.2219075748</v>
      </c>
      <c r="L44" s="90">
        <f>L22</f>
        <v>12612.1000996887</v>
      </c>
      <c r="M44" s="90">
        <f>M22</f>
        <v>8490.9030310877897</v>
      </c>
      <c r="N44" s="90">
        <f>N22</f>
        <v>5732.69771320774</v>
      </c>
      <c r="O44" s="84">
        <f t="shared" si="23"/>
        <v>0.94926256479027993</v>
      </c>
      <c r="P44" s="63">
        <f>P22</f>
        <v>0.94926256479027993</v>
      </c>
      <c r="R44" s="63">
        <f>R22</f>
        <v>0.83485430700332441</v>
      </c>
      <c r="S44" s="63">
        <f>S22</f>
        <v>0.56053778220838668</v>
      </c>
      <c r="T44" s="63">
        <f>T22</f>
        <v>0.37737346804834621</v>
      </c>
      <c r="U44" s="63">
        <f>U22</f>
        <v>0.25478656503145514</v>
      </c>
      <c r="V44" s="85">
        <f t="shared" si="6"/>
        <v>1.8270555245815701</v>
      </c>
      <c r="W44" s="85">
        <f>W22</f>
        <v>1.8270555245815701</v>
      </c>
      <c r="X44" s="85">
        <f t="shared" si="24"/>
        <v>1.7604140792286291</v>
      </c>
      <c r="Z44" s="63">
        <f>Y22*1.1</f>
        <v>1.7604140792286291</v>
      </c>
      <c r="AB44" s="112">
        <f t="shared" si="19"/>
        <v>1.7604140792286291</v>
      </c>
      <c r="AC44" s="112">
        <f t="shared" si="20"/>
        <v>1.7604140792286291</v>
      </c>
      <c r="AD44" s="112">
        <f t="shared" si="20"/>
        <v>1.7604140792286291</v>
      </c>
      <c r="AE44" s="112">
        <f t="shared" si="20"/>
        <v>1.7604140792286291</v>
      </c>
      <c r="AF44" s="63">
        <f>AF22</f>
        <v>0</v>
      </c>
      <c r="AG44" s="63">
        <f>AG22</f>
        <v>0</v>
      </c>
      <c r="AH44" s="63">
        <f t="shared" ref="AH44" si="26">AH22</f>
        <v>0</v>
      </c>
      <c r="AI44" s="63">
        <f>AI22*0.1</f>
        <v>3.3192828574538001E-2</v>
      </c>
      <c r="AJ44" s="63">
        <f>AJ22*0.1</f>
        <v>3.3103303930313001E-2</v>
      </c>
      <c r="AK44" s="63">
        <f>AK22*0.1</f>
        <v>2.9041173582530902E-2</v>
      </c>
      <c r="AL44" s="63">
        <f>AL22</f>
        <v>0</v>
      </c>
      <c r="AM44" s="63">
        <f>AM22</f>
        <v>0</v>
      </c>
      <c r="AN44" s="86"/>
      <c r="AQ44" s="67">
        <v>0</v>
      </c>
    </row>
    <row r="45" spans="1:72" x14ac:dyDescent="0.25">
      <c r="A45" s="63" t="str">
        <f t="shared" si="1"/>
        <v>MBTGAS</v>
      </c>
      <c r="B45" s="63" t="s">
        <v>298</v>
      </c>
      <c r="C45" s="63" t="s">
        <v>294</v>
      </c>
      <c r="D45" s="63" t="str">
        <f>D36</f>
        <v>TPPUMBT</v>
      </c>
      <c r="E45" s="63" t="s">
        <v>299</v>
      </c>
      <c r="F45" s="81">
        <f t="shared" si="2"/>
        <v>2.0965008962084201E-2</v>
      </c>
      <c r="G45" s="82">
        <f t="shared" si="3"/>
        <v>20965.008962084201</v>
      </c>
      <c r="H45" s="90">
        <f t="shared" si="22"/>
        <v>20965.008962084201</v>
      </c>
      <c r="I45" s="90">
        <f>I36</f>
        <v>20965.008962084201</v>
      </c>
      <c r="J45" s="90"/>
      <c r="K45" s="90">
        <f>K36</f>
        <v>18066.774551221399</v>
      </c>
      <c r="L45" s="90">
        <f>L36</f>
        <v>12688.0908597256</v>
      </c>
      <c r="M45" s="90">
        <f>M36</f>
        <v>8816.2136668335497</v>
      </c>
      <c r="N45" s="90">
        <f>N36</f>
        <v>6086.20560407013</v>
      </c>
      <c r="O45" s="84">
        <f t="shared" si="23"/>
        <v>0.59900025605954865</v>
      </c>
      <c r="P45" s="63">
        <f>P36</f>
        <v>0.59900025605954865</v>
      </c>
      <c r="R45" s="63">
        <f>R36</f>
        <v>0.51619355860632565</v>
      </c>
      <c r="S45" s="63">
        <f>S36</f>
        <v>0.36251688170644575</v>
      </c>
      <c r="T45" s="63">
        <f>T36</f>
        <v>0.25189181905238711</v>
      </c>
      <c r="U45" s="63">
        <f>U36</f>
        <v>0.17389158868771801</v>
      </c>
      <c r="V45" s="85">
        <f t="shared" si="6"/>
        <v>14.5644836562465</v>
      </c>
      <c r="W45" s="85">
        <f>W36</f>
        <v>14.5644836562465</v>
      </c>
      <c r="X45" s="85">
        <f t="shared" si="24"/>
        <v>0.2119495613148375</v>
      </c>
      <c r="Z45" s="63">
        <f>Y36*1.1</f>
        <v>0.2119495613148375</v>
      </c>
      <c r="AB45" s="112">
        <f t="shared" si="19"/>
        <v>0.2119495613148375</v>
      </c>
      <c r="AC45" s="112">
        <f t="shared" si="20"/>
        <v>0.2119495613148375</v>
      </c>
      <c r="AD45" s="112">
        <f t="shared" si="20"/>
        <v>0.2119495613148375</v>
      </c>
      <c r="AE45" s="112">
        <f t="shared" si="20"/>
        <v>0.2119495613148375</v>
      </c>
      <c r="AF45" s="63">
        <f t="shared" ref="AF45:AK45" si="27">AF36*0.01</f>
        <v>2.7831356741260902</v>
      </c>
      <c r="AG45" s="63">
        <f t="shared" si="27"/>
        <v>2.7895186064562503</v>
      </c>
      <c r="AH45" s="63">
        <f t="shared" si="27"/>
        <v>2.6156646550238003</v>
      </c>
      <c r="AI45" s="63">
        <f t="shared" si="27"/>
        <v>2.5388500362861199</v>
      </c>
      <c r="AJ45" s="63">
        <f t="shared" si="27"/>
        <v>2.2381698991359702</v>
      </c>
      <c r="AK45" s="63">
        <f t="shared" si="27"/>
        <v>1.3609445444360699</v>
      </c>
      <c r="AL45" s="63">
        <f>AL36</f>
        <v>0</v>
      </c>
      <c r="AM45" s="63">
        <f>AM36</f>
        <v>0</v>
      </c>
      <c r="AN45" s="86"/>
      <c r="AQ45" s="67">
        <v>0</v>
      </c>
    </row>
    <row r="46" spans="1:72" x14ac:dyDescent="0.25">
      <c r="A46" s="63" t="str">
        <f t="shared" si="1"/>
        <v>BUSGAS</v>
      </c>
      <c r="B46" s="63" t="s">
        <v>300</v>
      </c>
      <c r="C46" s="63" t="s">
        <v>294</v>
      </c>
      <c r="D46" s="63" t="str">
        <f>D17</f>
        <v>TPPUBUS</v>
      </c>
      <c r="E46" s="63" t="s">
        <v>301</v>
      </c>
      <c r="F46" s="81">
        <f t="shared" si="2"/>
        <v>5.3296583187381896E-2</v>
      </c>
      <c r="G46" s="82">
        <f t="shared" si="3"/>
        <v>53296.583187381897</v>
      </c>
      <c r="H46" s="90">
        <f t="shared" si="22"/>
        <v>53296.583187381897</v>
      </c>
      <c r="I46" s="90">
        <f>I17</f>
        <v>53296.583187381897</v>
      </c>
      <c r="J46" s="90"/>
      <c r="K46" s="90">
        <f>K17</f>
        <v>20224.127065240998</v>
      </c>
      <c r="L46" s="90">
        <f>L17</f>
        <v>9102.8605766817</v>
      </c>
      <c r="M46" s="90">
        <f>M17</f>
        <v>3988.6494324368</v>
      </c>
      <c r="N46" s="90">
        <f>N17</f>
        <v>1718.2224683684799</v>
      </c>
      <c r="O46" s="84">
        <f t="shared" si="23"/>
        <v>0.88827638645636497</v>
      </c>
      <c r="P46" s="63">
        <f>P17</f>
        <v>0.88827638645636497</v>
      </c>
      <c r="R46" s="63">
        <f>R17</f>
        <v>0.33706878442068333</v>
      </c>
      <c r="S46" s="63">
        <f>S17</f>
        <v>0.15171434294469499</v>
      </c>
      <c r="T46" s="63">
        <f>T17</f>
        <v>6.6477490540613332E-2</v>
      </c>
      <c r="U46" s="63">
        <f>U17</f>
        <v>2.8637041139474666E-2</v>
      </c>
      <c r="V46" s="85">
        <f t="shared" si="6"/>
        <v>40.788494972334703</v>
      </c>
      <c r="W46" s="85">
        <f>W17</f>
        <v>40.788494972334703</v>
      </c>
      <c r="X46" s="85">
        <f t="shared" si="24"/>
        <v>6.1451225052252298E-2</v>
      </c>
      <c r="Z46" s="63">
        <f>Y17</f>
        <v>6.1451225052252298E-2</v>
      </c>
      <c r="AB46" s="112">
        <f t="shared" si="19"/>
        <v>6.1451225052252298E-2</v>
      </c>
      <c r="AC46" s="112">
        <f t="shared" si="20"/>
        <v>6.1451225052252298E-2</v>
      </c>
      <c r="AD46" s="112">
        <f t="shared" si="20"/>
        <v>6.1451225052252298E-2</v>
      </c>
      <c r="AE46" s="112">
        <f t="shared" si="20"/>
        <v>6.1451225052252298E-2</v>
      </c>
      <c r="AF46" s="63">
        <f t="shared" ref="AF46:AK46" si="28">AF17*0.01</f>
        <v>0.215647607151075</v>
      </c>
      <c r="AG46" s="63">
        <f t="shared" si="28"/>
        <v>0.26527095234144399</v>
      </c>
      <c r="AH46" s="63">
        <f t="shared" si="28"/>
        <v>0.28126256176370301</v>
      </c>
      <c r="AI46" s="63">
        <f t="shared" si="28"/>
        <v>0.25195252265234702</v>
      </c>
      <c r="AJ46" s="63">
        <f t="shared" si="28"/>
        <v>0.230836519623628</v>
      </c>
      <c r="AK46" s="63">
        <f t="shared" si="28"/>
        <v>0.155161252325553</v>
      </c>
      <c r="AL46" s="63">
        <f>AL17</f>
        <v>0</v>
      </c>
      <c r="AM46" s="63">
        <f>AM17</f>
        <v>0</v>
      </c>
      <c r="AN46" s="86"/>
      <c r="AQ46" s="67">
        <v>0</v>
      </c>
      <c r="AS46" s="113"/>
    </row>
    <row r="47" spans="1:72" x14ac:dyDescent="0.25">
      <c r="A47" s="63" t="str">
        <f t="shared" si="1"/>
        <v>LCVGAS</v>
      </c>
      <c r="B47" s="63" t="s">
        <v>302</v>
      </c>
      <c r="C47" s="63" t="s">
        <v>294</v>
      </c>
      <c r="D47" s="63" t="str">
        <f>D34</f>
        <v>TFLCV</v>
      </c>
      <c r="E47" s="63" t="s">
        <v>303</v>
      </c>
      <c r="F47" s="81">
        <f t="shared" si="2"/>
        <v>1.6984001252854999E-2</v>
      </c>
      <c r="G47" s="82">
        <f t="shared" si="3"/>
        <v>16984.001252855</v>
      </c>
      <c r="H47" s="90">
        <f t="shared" si="22"/>
        <v>16984.001252855</v>
      </c>
      <c r="I47" s="90">
        <f>I34</f>
        <v>16984.001252855</v>
      </c>
      <c r="J47" s="90"/>
      <c r="K47" s="90">
        <f>K34</f>
        <v>12351.5851641552</v>
      </c>
      <c r="L47" s="90">
        <f>L34</f>
        <v>6353.8900619384203</v>
      </c>
      <c r="M47" s="90">
        <f>M34</f>
        <v>3228.5842202509998</v>
      </c>
      <c r="N47" s="90">
        <f>N34</f>
        <v>1629.4894595599401</v>
      </c>
      <c r="O47" s="84">
        <f t="shared" si="23"/>
        <v>0.485257178653</v>
      </c>
      <c r="P47" s="63">
        <f>P34</f>
        <v>0.485257178653</v>
      </c>
      <c r="R47" s="63">
        <f>R34</f>
        <v>0.35290243326157716</v>
      </c>
      <c r="S47" s="63">
        <f>S34</f>
        <v>0.18153971605538344</v>
      </c>
      <c r="T47" s="63">
        <f>T34</f>
        <v>9.2245263435742852E-2</v>
      </c>
      <c r="U47" s="63">
        <f>U34</f>
        <v>4.6556841701712572E-2</v>
      </c>
      <c r="V47" s="85">
        <f t="shared" si="6"/>
        <v>14.176565003733501</v>
      </c>
      <c r="W47" s="85">
        <f>W34</f>
        <v>14.176565003733501</v>
      </c>
      <c r="X47" s="85">
        <f t="shared" si="24"/>
        <v>0.21887575620523803</v>
      </c>
      <c r="Z47" s="63">
        <f>Y34*1.1</f>
        <v>0.21887575620523803</v>
      </c>
      <c r="AB47" s="112">
        <f t="shared" si="19"/>
        <v>0.21887575620523803</v>
      </c>
      <c r="AC47" s="112">
        <f t="shared" si="20"/>
        <v>0.21887575620523803</v>
      </c>
      <c r="AD47" s="112">
        <f t="shared" si="20"/>
        <v>0.21887575620523803</v>
      </c>
      <c r="AE47" s="112">
        <f t="shared" si="20"/>
        <v>0.21887575620523803</v>
      </c>
      <c r="AF47" s="63">
        <f>AF34*0.002</f>
        <v>2.7068454804621402</v>
      </c>
      <c r="AG47" s="63">
        <f t="shared" ref="AG47:AK47" si="29">AG34*0.01</f>
        <v>13.9410583631081</v>
      </c>
      <c r="AH47" s="63">
        <f t="shared" si="29"/>
        <v>13.2980249560937</v>
      </c>
      <c r="AI47" s="63">
        <f t="shared" si="29"/>
        <v>12.967112413349801</v>
      </c>
      <c r="AJ47" s="63">
        <f t="shared" si="29"/>
        <v>11.4983638939547</v>
      </c>
      <c r="AK47" s="63">
        <f t="shared" si="29"/>
        <v>7.2133104862899096</v>
      </c>
      <c r="AL47" s="63">
        <f>AL34</f>
        <v>0</v>
      </c>
      <c r="AM47" s="63">
        <f>AM34</f>
        <v>0</v>
      </c>
      <c r="AN47" s="86"/>
      <c r="AQ47" s="67">
        <v>0</v>
      </c>
    </row>
    <row r="48" spans="1:72" x14ac:dyDescent="0.25">
      <c r="A48" s="63" t="str">
        <f t="shared" si="1"/>
        <v>CV1GAS</v>
      </c>
      <c r="B48" s="63" t="s">
        <v>304</v>
      </c>
      <c r="C48" s="63" t="s">
        <v>294</v>
      </c>
      <c r="D48" s="63" t="str">
        <f>D23</f>
        <v>TFHCV1</v>
      </c>
      <c r="E48" s="63" t="s">
        <v>305</v>
      </c>
      <c r="F48" s="81">
        <f t="shared" si="2"/>
        <v>1.71002801251579E-2</v>
      </c>
      <c r="G48" s="82">
        <f t="shared" si="3"/>
        <v>17100.2801251579</v>
      </c>
      <c r="H48" s="90">
        <f t="shared" si="22"/>
        <v>17100.2801251579</v>
      </c>
      <c r="I48" s="90">
        <f>I24</f>
        <v>17100.2801251579</v>
      </c>
      <c r="J48" s="90"/>
      <c r="K48" s="90">
        <f>K24</f>
        <v>12796.259204828801</v>
      </c>
      <c r="L48" s="90">
        <f>L24</f>
        <v>10147.057094637899</v>
      </c>
      <c r="M48" s="90">
        <f>M24</f>
        <v>6586.2943384510099</v>
      </c>
      <c r="N48" s="90">
        <f>N24</f>
        <v>3740.6636764421</v>
      </c>
      <c r="O48" s="84">
        <f t="shared" si="23"/>
        <v>0.35625583594078958</v>
      </c>
      <c r="P48" s="63">
        <f>P24</f>
        <v>0.35625583594078958</v>
      </c>
      <c r="R48" s="63">
        <f>R24</f>
        <v>0.26658873343393336</v>
      </c>
      <c r="S48" s="63">
        <f>S24</f>
        <v>0.21139702280495623</v>
      </c>
      <c r="T48" s="63">
        <f>T24</f>
        <v>0.13721446538439605</v>
      </c>
      <c r="U48" s="63">
        <f>U24</f>
        <v>7.793049325921042E-2</v>
      </c>
      <c r="V48" s="85">
        <f t="shared" si="6"/>
        <v>19.628700201694802</v>
      </c>
      <c r="W48" s="85">
        <f>W24</f>
        <v>19.628700201694802</v>
      </c>
      <c r="X48" s="85">
        <f t="shared" si="24"/>
        <v>0.15980018435060239</v>
      </c>
      <c r="Z48" s="114">
        <f>Y24*1.1</f>
        <v>0.15980018435060239</v>
      </c>
      <c r="AA48" s="114"/>
      <c r="AB48" s="112">
        <f t="shared" si="19"/>
        <v>0.15980018435060239</v>
      </c>
      <c r="AC48" s="112">
        <f t="shared" si="20"/>
        <v>0.15980018435060239</v>
      </c>
      <c r="AD48" s="112">
        <f t="shared" si="20"/>
        <v>0.15980018435060239</v>
      </c>
      <c r="AE48" s="112">
        <f t="shared" si="20"/>
        <v>0.15980018435060239</v>
      </c>
      <c r="AF48" s="92">
        <f t="shared" ref="AF48:AK48" si="30">AF24*0.05</f>
        <v>0.31596472553581301</v>
      </c>
      <c r="AG48" s="92">
        <f t="shared" si="30"/>
        <v>0.22832550472947452</v>
      </c>
      <c r="AH48" s="92">
        <f t="shared" si="30"/>
        <v>0.203305017300633</v>
      </c>
      <c r="AI48" s="92">
        <f t="shared" si="30"/>
        <v>0.116677774299976</v>
      </c>
      <c r="AJ48" s="92">
        <f t="shared" si="30"/>
        <v>9.3964709007464009E-2</v>
      </c>
      <c r="AK48" s="92">
        <f t="shared" si="30"/>
        <v>1.7932784706102999E-2</v>
      </c>
      <c r="AL48" s="114">
        <v>0</v>
      </c>
      <c r="AM48" s="114">
        <f>AM24</f>
        <v>0</v>
      </c>
      <c r="AN48" s="86"/>
      <c r="AO48" s="84"/>
      <c r="AQ48" s="67">
        <v>0</v>
      </c>
      <c r="AR48" s="84"/>
      <c r="AS48" s="113"/>
    </row>
    <row r="49" spans="1:69" s="65" customFormat="1" x14ac:dyDescent="0.25">
      <c r="O49" s="84">
        <f t="shared" si="23"/>
        <v>0</v>
      </c>
      <c r="AA49" s="65" t="e">
        <f>1/AA65</f>
        <v>#REF!</v>
      </c>
      <c r="AM49" s="115" t="s">
        <v>306</v>
      </c>
      <c r="AN49" s="115"/>
      <c r="AT49" s="63"/>
    </row>
    <row r="50" spans="1:69" s="65" customFormat="1" x14ac:dyDescent="0.25">
      <c r="F50" s="63"/>
      <c r="AM50" s="116" t="s">
        <v>307</v>
      </c>
      <c r="AN50" s="116"/>
    </row>
    <row r="51" spans="1:69" s="117" customFormat="1" x14ac:dyDescent="0.25">
      <c r="F51" s="118" t="s">
        <v>202</v>
      </c>
      <c r="G51" s="119"/>
      <c r="H51" s="119"/>
      <c r="I51" s="119"/>
      <c r="J51" s="119"/>
      <c r="K51" s="119"/>
      <c r="L51" s="119"/>
      <c r="M51" s="119" t="s">
        <v>203</v>
      </c>
      <c r="N51" s="119" t="s">
        <v>203</v>
      </c>
      <c r="O51" s="119" t="s">
        <v>203</v>
      </c>
      <c r="P51" s="119" t="s">
        <v>203</v>
      </c>
      <c r="Q51" s="119" t="s">
        <v>203</v>
      </c>
      <c r="R51" s="119"/>
      <c r="S51" s="119"/>
      <c r="T51" s="119"/>
      <c r="U51" s="119"/>
      <c r="V51" s="119"/>
      <c r="Z51" s="119" t="s">
        <v>204</v>
      </c>
      <c r="AA51" s="119" t="s">
        <v>204</v>
      </c>
      <c r="AB51" s="119" t="s">
        <v>204</v>
      </c>
      <c r="AC51" s="119" t="s">
        <v>204</v>
      </c>
      <c r="AD51" s="119" t="s">
        <v>204</v>
      </c>
      <c r="AE51" s="119" t="s">
        <v>204</v>
      </c>
      <c r="AF51" s="119"/>
      <c r="AK51" s="117" t="s">
        <v>308</v>
      </c>
      <c r="AL51" s="117" t="s">
        <v>308</v>
      </c>
      <c r="AM51" s="117" t="s">
        <v>308</v>
      </c>
      <c r="AN51" s="117" t="s">
        <v>308</v>
      </c>
      <c r="AO51" s="117" t="s">
        <v>308</v>
      </c>
      <c r="AP51" s="117" t="s">
        <v>308</v>
      </c>
      <c r="AQ51" s="117" t="s">
        <v>308</v>
      </c>
      <c r="AU51" s="117" t="s">
        <v>309</v>
      </c>
      <c r="AV51" s="117" t="s">
        <v>309</v>
      </c>
      <c r="AW51" s="117" t="s">
        <v>309</v>
      </c>
      <c r="AX51" s="117" t="s">
        <v>309</v>
      </c>
      <c r="AY51" s="117" t="s">
        <v>309</v>
      </c>
    </row>
    <row r="52" spans="1:69" s="65" customFormat="1" x14ac:dyDescent="0.25">
      <c r="BQ52" s="63"/>
    </row>
    <row r="53" spans="1:69" x14ac:dyDescent="0.25">
      <c r="B53" s="113"/>
      <c r="R53" s="63" t="s">
        <v>310</v>
      </c>
      <c r="T53" s="120">
        <f>IF(eMode,$Z$53,$Y$53)</f>
        <v>7.4999999999999997E-3</v>
      </c>
      <c r="U53" s="121">
        <f>T53</f>
        <v>7.4999999999999997E-3</v>
      </c>
      <c r="V53" s="121">
        <f>U53</f>
        <v>7.4999999999999997E-3</v>
      </c>
      <c r="W53" s="121">
        <f>V53</f>
        <v>7.4999999999999997E-3</v>
      </c>
      <c r="X53" s="121">
        <f>W53</f>
        <v>7.4999999999999997E-3</v>
      </c>
      <c r="Y53" s="122">
        <v>5.0000000000000001E-3</v>
      </c>
      <c r="Z53" s="121">
        <v>7.4999999999999997E-3</v>
      </c>
      <c r="AA53" s="84">
        <v>8.650433231260191</v>
      </c>
      <c r="AB53" s="84"/>
      <c r="AD53" s="84"/>
      <c r="AE53" s="84"/>
      <c r="AF53" s="84"/>
      <c r="AG53" s="84"/>
      <c r="AH53" s="84"/>
      <c r="AI53" s="84"/>
    </row>
    <row r="54" spans="1:69" x14ac:dyDescent="0.25">
      <c r="B54" s="113"/>
      <c r="R54" s="63" t="s">
        <v>311</v>
      </c>
      <c r="T54" s="121">
        <v>0.01</v>
      </c>
      <c r="U54" s="121">
        <v>0.01</v>
      </c>
      <c r="V54" s="121">
        <v>0.01</v>
      </c>
      <c r="W54" s="121">
        <v>0.01</v>
      </c>
      <c r="X54" s="122">
        <v>0.01</v>
      </c>
      <c r="Y54" s="123"/>
      <c r="Z54" s="84"/>
      <c r="AA54" s="84" t="s">
        <v>312</v>
      </c>
      <c r="AB54" s="84"/>
      <c r="AD54" s="89" t="e">
        <f>#REF!</f>
        <v>#REF!</v>
      </c>
      <c r="AE54" s="84"/>
      <c r="AF54" s="84"/>
      <c r="AG54" s="84"/>
      <c r="AH54" s="84"/>
      <c r="AI54" s="84"/>
      <c r="AJ54" s="84"/>
      <c r="AK54" s="84"/>
      <c r="AL54" s="84"/>
      <c r="AM54" s="84"/>
      <c r="AN54" s="113"/>
      <c r="AO54" s="113"/>
    </row>
    <row r="55" spans="1:69" ht="15.75" thickBot="1" x14ac:dyDescent="0.3">
      <c r="C55" s="124" t="s">
        <v>313</v>
      </c>
      <c r="D55" s="124"/>
      <c r="E55" s="124"/>
      <c r="F55" s="124"/>
      <c r="G55" s="124"/>
      <c r="H55" s="125"/>
      <c r="I55" s="125"/>
      <c r="M55" s="63" t="s">
        <v>225</v>
      </c>
      <c r="Q55" s="63" t="s">
        <v>314</v>
      </c>
      <c r="S55" s="63" t="s">
        <v>315</v>
      </c>
      <c r="T55" s="121">
        <v>1.4999999999999999E-2</v>
      </c>
      <c r="U55" s="121">
        <v>1.4999999999999999E-2</v>
      </c>
      <c r="V55" s="121">
        <v>1.4999999999999999E-2</v>
      </c>
      <c r="W55" s="121">
        <v>1.4999999999999999E-2</v>
      </c>
      <c r="X55" s="121">
        <v>1.4999999999999999E-2</v>
      </c>
      <c r="Y55" s="123"/>
      <c r="AA55" s="84" t="s">
        <v>316</v>
      </c>
      <c r="AB55" s="84"/>
      <c r="AD55" s="67">
        <f>AD56/AD57</f>
        <v>0.87143391415007765</v>
      </c>
      <c r="AI55" s="126" t="s">
        <v>317</v>
      </c>
      <c r="AJ55" s="67">
        <v>0.15</v>
      </c>
      <c r="AT55" s="74" t="s">
        <v>318</v>
      </c>
      <c r="AW55" s="127" t="s">
        <v>319</v>
      </c>
      <c r="AX55" s="128">
        <f>(1-25%)*AX56</f>
        <v>2.0250000000000001E-2</v>
      </c>
      <c r="AY55" s="129" t="s">
        <v>250</v>
      </c>
    </row>
    <row r="56" spans="1:69" x14ac:dyDescent="0.25">
      <c r="F56" s="74" t="str">
        <f>H14</f>
        <v>Mileage Start</v>
      </c>
      <c r="H56" s="123"/>
      <c r="M56" s="74" t="str">
        <f>O14</f>
        <v>Availability</v>
      </c>
      <c r="N56" s="74"/>
      <c r="S56" s="74" t="str">
        <f>V14</f>
        <v>Economy</v>
      </c>
      <c r="T56" s="130">
        <f>Analytica!X42</f>
        <v>7.0026980278615358</v>
      </c>
      <c r="U56" s="130">
        <f>T56</f>
        <v>7.0026980278615358</v>
      </c>
      <c r="V56" s="130">
        <f t="shared" ref="V56:X56" si="31">U56</f>
        <v>7.0026980278615358</v>
      </c>
      <c r="W56" s="130">
        <f t="shared" si="31"/>
        <v>7.0026980278615358</v>
      </c>
      <c r="X56" s="130">
        <f t="shared" si="31"/>
        <v>7.0026980278615358</v>
      </c>
      <c r="Y56" s="123"/>
      <c r="AA56" s="74" t="s">
        <v>320</v>
      </c>
      <c r="AB56" s="74"/>
      <c r="AC56" s="126" t="s">
        <v>234</v>
      </c>
      <c r="AD56" s="131">
        <f>X18*W18</f>
        <v>2.5480523805557795</v>
      </c>
      <c r="AH56" s="63" t="s">
        <v>321</v>
      </c>
      <c r="AJ56" s="74" t="s">
        <v>322</v>
      </c>
      <c r="AL56" s="63" t="s">
        <v>323</v>
      </c>
      <c r="AR56" s="63" t="s">
        <v>324</v>
      </c>
      <c r="AT56" s="63" t="s">
        <v>325</v>
      </c>
      <c r="AW56" s="132" t="s">
        <v>326</v>
      </c>
      <c r="AX56" s="133">
        <v>2.7E-2</v>
      </c>
      <c r="AY56" s="134"/>
      <c r="BA56" s="74" t="s">
        <v>327</v>
      </c>
    </row>
    <row r="57" spans="1:69" ht="15.75" thickBot="1" x14ac:dyDescent="0.3">
      <c r="F57" s="63" t="str">
        <f>F15</f>
        <v>m.km/yr</v>
      </c>
      <c r="S57" s="63" t="s">
        <v>226</v>
      </c>
      <c r="T57" s="135">
        <f>IF(eMode,$Z$57,$Y$57)</f>
        <v>1.4999999999999999E-2</v>
      </c>
      <c r="U57" s="136">
        <f>T57</f>
        <v>1.4999999999999999E-2</v>
      </c>
      <c r="V57" s="136">
        <f>U57</f>
        <v>1.4999999999999999E-2</v>
      </c>
      <c r="W57" s="136">
        <f>V57</f>
        <v>1.4999999999999999E-2</v>
      </c>
      <c r="X57" s="136">
        <f>W57</f>
        <v>1.4999999999999999E-2</v>
      </c>
      <c r="Y57" s="137">
        <f>T54</f>
        <v>0.01</v>
      </c>
      <c r="Z57" s="136">
        <f>T55</f>
        <v>1.4999999999999999E-2</v>
      </c>
      <c r="AA57" s="63" t="s">
        <v>227</v>
      </c>
      <c r="AC57" s="126" t="s">
        <v>241</v>
      </c>
      <c r="AD57" s="131">
        <f>X22*W22</f>
        <v>2.923976608187131</v>
      </c>
      <c r="AJ57" s="63" t="s">
        <v>325</v>
      </c>
      <c r="AK57" s="136">
        <v>0.01</v>
      </c>
      <c r="AL57" s="136">
        <v>0.01</v>
      </c>
      <c r="AM57" s="136"/>
      <c r="AN57" s="136">
        <v>5.0000000000000001E-3</v>
      </c>
      <c r="AO57" s="136"/>
      <c r="AP57" s="136">
        <v>0</v>
      </c>
      <c r="AQ57" s="136">
        <v>0</v>
      </c>
      <c r="AR57" s="138">
        <v>0.1</v>
      </c>
      <c r="AU57" s="136"/>
      <c r="AV57" s="136"/>
      <c r="AW57" s="139"/>
      <c r="AX57" s="139"/>
      <c r="AY57" s="139"/>
      <c r="BD57" s="63" t="s">
        <v>328</v>
      </c>
    </row>
    <row r="58" spans="1:69" x14ac:dyDescent="0.25">
      <c r="F58" s="140" t="str">
        <f>F16</f>
        <v>CapAct</v>
      </c>
      <c r="G58" s="141">
        <f>H16</f>
        <v>2012</v>
      </c>
      <c r="H58" s="141">
        <v>0</v>
      </c>
      <c r="I58" s="141">
        <v>5</v>
      </c>
      <c r="J58" s="141">
        <v>10</v>
      </c>
      <c r="K58" s="141">
        <v>30</v>
      </c>
      <c r="L58" s="141">
        <v>50</v>
      </c>
      <c r="M58" s="141">
        <v>0</v>
      </c>
      <c r="N58" s="141">
        <v>5</v>
      </c>
      <c r="O58" s="141">
        <v>10</v>
      </c>
      <c r="P58" s="141">
        <v>30</v>
      </c>
      <c r="Q58" s="141">
        <v>50</v>
      </c>
      <c r="R58" s="141"/>
      <c r="S58" s="141">
        <v>2006</v>
      </c>
      <c r="T58" s="142">
        <v>2012</v>
      </c>
      <c r="U58" s="141">
        <v>2020</v>
      </c>
      <c r="V58" s="141">
        <v>2030</v>
      </c>
      <c r="W58" s="141">
        <v>2040</v>
      </c>
      <c r="X58" s="141">
        <v>2050</v>
      </c>
      <c r="Y58" s="141"/>
      <c r="Z58" s="141">
        <f>S58</f>
        <v>2006</v>
      </c>
      <c r="AA58" s="141">
        <v>2017</v>
      </c>
      <c r="AB58" s="141">
        <f>U58</f>
        <v>2020</v>
      </c>
      <c r="AC58" s="141">
        <f>V58</f>
        <v>2030</v>
      </c>
      <c r="AD58" s="141">
        <f>W58</f>
        <v>2040</v>
      </c>
      <c r="AE58" s="141">
        <f>X58</f>
        <v>2050</v>
      </c>
      <c r="AF58" s="141"/>
      <c r="AG58" s="141"/>
      <c r="AH58" s="141" t="s">
        <v>329</v>
      </c>
      <c r="AI58" s="141" t="s">
        <v>330</v>
      </c>
      <c r="AJ58" s="141">
        <v>2006</v>
      </c>
      <c r="AK58" s="141">
        <v>2012</v>
      </c>
      <c r="AL58" s="141">
        <v>2020</v>
      </c>
      <c r="AM58" s="141">
        <v>2025</v>
      </c>
      <c r="AN58" s="141">
        <v>2030</v>
      </c>
      <c r="AO58" s="141">
        <v>2035</v>
      </c>
      <c r="AP58" s="141">
        <v>2040</v>
      </c>
      <c r="AQ58" s="141">
        <v>2050</v>
      </c>
      <c r="AR58" s="141"/>
      <c r="AS58" s="141"/>
      <c r="AT58" s="141" t="s">
        <v>225</v>
      </c>
      <c r="AU58" s="141">
        <v>2012</v>
      </c>
      <c r="AV58" s="141">
        <v>2020</v>
      </c>
      <c r="AW58" s="141">
        <v>2030</v>
      </c>
      <c r="AX58" s="141">
        <v>2040</v>
      </c>
      <c r="AY58" s="143">
        <v>2050</v>
      </c>
    </row>
    <row r="59" spans="1:69" x14ac:dyDescent="0.25">
      <c r="A59" s="63" t="str">
        <f t="shared" ref="A59:A122" si="32">RIGHT(D59,3)&amp;C59</f>
        <v>BUSODS</v>
      </c>
      <c r="B59" s="63" t="str">
        <f>D59&amp;C59&amp;"-N"</f>
        <v>TPPUBUSODS-N</v>
      </c>
      <c r="C59" s="63" t="s">
        <v>234</v>
      </c>
      <c r="D59" s="63" t="s">
        <v>235</v>
      </c>
      <c r="E59" s="63" t="s">
        <v>236</v>
      </c>
      <c r="F59" s="144">
        <f>INDEX($F$17:$F$49,MATCH($E59,$E$17:$E$49,0))</f>
        <v>0.06</v>
      </c>
      <c r="G59" s="145">
        <f>G17</f>
        <v>53296.583187381897</v>
      </c>
      <c r="H59" s="145">
        <f t="shared" ref="H59:L68" si="33">(EXP(-((H$58)*$F59))*G59)</f>
        <v>53296.583187381897</v>
      </c>
      <c r="I59" s="145">
        <f t="shared" si="33"/>
        <v>39483.079925291415</v>
      </c>
      <c r="J59" s="145">
        <f t="shared" si="33"/>
        <v>21668.773691830389</v>
      </c>
      <c r="K59" s="145">
        <f t="shared" si="33"/>
        <v>3581.8242003847272</v>
      </c>
      <c r="L59" s="145">
        <f t="shared" si="33"/>
        <v>178.32852634622401</v>
      </c>
      <c r="M59" s="145">
        <f t="shared" ref="M59:R90" si="34">H59/$G59</f>
        <v>1</v>
      </c>
      <c r="N59" s="145">
        <f t="shared" si="34"/>
        <v>0.74081822068171788</v>
      </c>
      <c r="O59" s="145">
        <f t="shared" si="34"/>
        <v>0.40656965974059905</v>
      </c>
      <c r="P59" s="145">
        <f t="shared" si="34"/>
        <v>6.720551273974977E-2</v>
      </c>
      <c r="Q59" s="145">
        <f t="shared" si="34"/>
        <v>3.3459654574712729E-3</v>
      </c>
      <c r="R59" s="145">
        <f t="shared" si="34"/>
        <v>1.8762928882029207E-5</v>
      </c>
      <c r="S59" s="71">
        <v>31.22</v>
      </c>
      <c r="T59" s="146">
        <f>W17</f>
        <v>40.788494972334703</v>
      </c>
      <c r="U59" s="145">
        <f>T59/((1+U$53)^(U$58-T$58))</f>
        <v>38.421758893352582</v>
      </c>
      <c r="V59" s="145">
        <f>U59/((1+V$53)^(V$58-U$58))</f>
        <v>35.655513403447067</v>
      </c>
      <c r="W59" s="145">
        <f>V59/((1+W$53)^(W$58-V$58))</f>
        <v>33.088428866366812</v>
      </c>
      <c r="X59" s="145">
        <f>W59/((1+X$53)^(X$58-W$58))</f>
        <v>30.70616632149715</v>
      </c>
      <c r="Y59" s="145"/>
      <c r="Z59" s="147">
        <f>(1/S59*100)/DieselLHV</f>
        <v>8.749755228366396E-2</v>
      </c>
      <c r="AA59" s="147" t="e">
        <f>1/SUMIFS(#REF!,#REF!,Analytica!$C59,#REF!,RIGHT(Analytica!$D59,3))</f>
        <v>#REF!</v>
      </c>
      <c r="AB59" s="147" t="e">
        <f>1/SUMIFS(#REF!,#REF!,Analytica!$C59,#REF!,RIGHT(Analytica!$D59,3))</f>
        <v>#REF!</v>
      </c>
      <c r="AC59" s="147" t="e">
        <f>1/SUMIFS(#REF!,#REF!,Analytica!$C59,#REF!,RIGHT(Analytica!$D59,3))</f>
        <v>#REF!</v>
      </c>
      <c r="AD59" s="147" t="e">
        <f>1/SUMIFS(#REF!,#REF!,Analytica!$C59,#REF!,RIGHT(Analytica!$D59,3))</f>
        <v>#REF!</v>
      </c>
      <c r="AE59" s="147" t="e">
        <f>1/SUMIFS(#REF!,#REF!,Analytica!$C59,#REF!,RIGHT(Analytica!$D59,3))</f>
        <v>#REF!</v>
      </c>
      <c r="AF59" s="147"/>
      <c r="AG59" s="71"/>
      <c r="AH59" s="148">
        <v>306.87549999999999</v>
      </c>
      <c r="AI59" s="148">
        <v>636.66302862985685</v>
      </c>
      <c r="AJ59" s="148"/>
      <c r="AK59" s="149"/>
      <c r="AL59" s="149"/>
      <c r="AM59" s="149"/>
      <c r="AN59" s="149"/>
      <c r="AO59" s="149"/>
      <c r="AP59" s="149"/>
      <c r="AQ59" s="149"/>
      <c r="AR59" s="150"/>
      <c r="AS59" s="150"/>
      <c r="AT59" s="151"/>
      <c r="AU59" s="152"/>
      <c r="AV59" s="152"/>
      <c r="AW59" s="152"/>
      <c r="AX59" s="152"/>
      <c r="AY59" s="153"/>
      <c r="BA59" s="154">
        <f>SUMIF($E$17:$E$41,E59,$AR$17:$AR$41)/SUMIF($D$17:$D$41,D59,$AR$17:$AR$41)</f>
        <v>1</v>
      </c>
      <c r="BB59" s="63" t="s">
        <v>237</v>
      </c>
      <c r="BC59" s="90">
        <f>AJ59*1000</f>
        <v>0</v>
      </c>
    </row>
    <row r="60" spans="1:69" x14ac:dyDescent="0.25">
      <c r="A60" s="63" t="str">
        <f t="shared" si="32"/>
        <v>BUSGAS</v>
      </c>
      <c r="B60" s="63" t="str">
        <f>D60&amp;C60&amp;"-N"</f>
        <v>TPPUBUSGAS-N</v>
      </c>
      <c r="C60" s="63" t="s">
        <v>294</v>
      </c>
      <c r="D60" s="63" t="s">
        <v>235</v>
      </c>
      <c r="E60" s="63" t="s">
        <v>331</v>
      </c>
      <c r="F60" s="144">
        <f t="shared" ref="F60:G63" si="35">F59</f>
        <v>0.06</v>
      </c>
      <c r="G60" s="145">
        <f t="shared" si="35"/>
        <v>53296.583187381897</v>
      </c>
      <c r="H60" s="145">
        <f t="shared" si="33"/>
        <v>53296.583187381897</v>
      </c>
      <c r="I60" s="145">
        <f t="shared" si="33"/>
        <v>39483.079925291415</v>
      </c>
      <c r="J60" s="145">
        <f t="shared" si="33"/>
        <v>21668.773691830389</v>
      </c>
      <c r="K60" s="145">
        <f t="shared" si="33"/>
        <v>3581.8242003847272</v>
      </c>
      <c r="L60" s="145">
        <f t="shared" si="33"/>
        <v>178.32852634622401</v>
      </c>
      <c r="M60" s="145">
        <f t="shared" si="34"/>
        <v>1</v>
      </c>
      <c r="N60" s="145">
        <f t="shared" si="34"/>
        <v>0.74081822068171788</v>
      </c>
      <c r="O60" s="145">
        <f t="shared" si="34"/>
        <v>0.40656965974059905</v>
      </c>
      <c r="P60" s="145">
        <f t="shared" si="34"/>
        <v>6.720551273974977E-2</v>
      </c>
      <c r="Q60" s="145">
        <f t="shared" si="34"/>
        <v>3.3459654574712729E-3</v>
      </c>
      <c r="R60" s="145">
        <f t="shared" si="34"/>
        <v>1.8762928882029207E-5</v>
      </c>
      <c r="S60" s="71">
        <f>S$70/S$65*S59</f>
        <v>27.7780682039647</v>
      </c>
      <c r="T60" s="145">
        <f>S60/((1+T$57)^(T$58-S$58))</f>
        <v>25.404215399164865</v>
      </c>
      <c r="U60" s="145">
        <f>T60/((1+U$57)^(U$58-T$58))</f>
        <v>22.551604601274992</v>
      </c>
      <c r="V60" s="145">
        <f>U60/((1+V$57)^(V$58-U$58))</f>
        <v>19.431978707673903</v>
      </c>
      <c r="W60" s="145">
        <f>V60/((1+W$57)^(W$58-V$58))</f>
        <v>16.743899299925808</v>
      </c>
      <c r="X60" s="145">
        <f>W60/((1+X$57)^(X$58-W$58))</f>
        <v>14.427669358002095</v>
      </c>
      <c r="Y60" s="71"/>
      <c r="Z60" s="147">
        <f>(1/S60*100)/DieselLHV</f>
        <v>9.8339220792398485E-2</v>
      </c>
      <c r="AA60" s="147" t="e">
        <f>1/SUMIFS(#REF!,#REF!,Analytica!$C60,#REF!,RIGHT(Analytica!$D60,3))</f>
        <v>#REF!</v>
      </c>
      <c r="AB60" s="147" t="e">
        <f>1/SUMIFS(#REF!,#REF!,Analytica!$C60,#REF!,RIGHT(Analytica!$D60,3))</f>
        <v>#REF!</v>
      </c>
      <c r="AC60" s="147" t="e">
        <f>1/SUMIFS(#REF!,#REF!,Analytica!$C60,#REF!,RIGHT(Analytica!$D60,3))</f>
        <v>#REF!</v>
      </c>
      <c r="AD60" s="147" t="e">
        <f>1/SUMIFS(#REF!,#REF!,Analytica!$C60,#REF!,RIGHT(Analytica!$D60,3))</f>
        <v>#REF!</v>
      </c>
      <c r="AE60" s="147" t="e">
        <f>1/SUMIFS(#REF!,#REF!,Analytica!$C60,#REF!,RIGHT(Analytica!$D60,3))</f>
        <v>#REF!</v>
      </c>
      <c r="AF60" s="147"/>
      <c r="AG60" s="71">
        <v>1</v>
      </c>
      <c r="AH60" s="148">
        <f>AH59*(1+$AR$57)</f>
        <v>337.56305000000003</v>
      </c>
      <c r="AI60" s="148">
        <f>AI59*(1+$AR$57)</f>
        <v>700.32933149284258</v>
      </c>
      <c r="AJ60" s="148"/>
      <c r="AK60" s="149"/>
      <c r="AL60" s="149" t="s">
        <v>332</v>
      </c>
      <c r="AM60" s="149"/>
      <c r="AN60" s="149"/>
      <c r="AO60" s="149"/>
      <c r="AP60" s="149"/>
      <c r="AQ60" s="149"/>
      <c r="AR60" s="152"/>
      <c r="AS60" s="150"/>
      <c r="AT60" s="151"/>
      <c r="AU60" s="152"/>
      <c r="AV60" s="152"/>
      <c r="AW60" s="152"/>
      <c r="AX60" s="152"/>
      <c r="AY60" s="153"/>
      <c r="BA60" s="154">
        <f>SUMIF($E$17:$E$41,E60,$AR$17:$AR$41)/SUMIF($D$17:$D$41,D60,$AR$17:$AR$41)</f>
        <v>0</v>
      </c>
      <c r="BB60" s="63" t="s">
        <v>333</v>
      </c>
      <c r="BC60" s="90">
        <f>AJ60*1000</f>
        <v>0</v>
      </c>
    </row>
    <row r="61" spans="1:69" x14ac:dyDescent="0.25">
      <c r="A61" s="63" t="str">
        <f t="shared" si="32"/>
        <v>BUSHGN</v>
      </c>
      <c r="B61" s="63" t="str">
        <f>D61&amp;C61&amp;"F-N"</f>
        <v>TPPUBUSHGNF-N</v>
      </c>
      <c r="C61" s="63" t="s">
        <v>334</v>
      </c>
      <c r="D61" s="63" t="s">
        <v>235</v>
      </c>
      <c r="E61" s="63" t="s">
        <v>335</v>
      </c>
      <c r="F61" s="144">
        <f t="shared" si="35"/>
        <v>0.06</v>
      </c>
      <c r="G61" s="145">
        <f t="shared" si="35"/>
        <v>53296.583187381897</v>
      </c>
      <c r="H61" s="145">
        <f t="shared" si="33"/>
        <v>53296.583187381897</v>
      </c>
      <c r="I61" s="145">
        <f t="shared" si="33"/>
        <v>39483.079925291415</v>
      </c>
      <c r="J61" s="145">
        <f t="shared" si="33"/>
        <v>21668.773691830389</v>
      </c>
      <c r="K61" s="145">
        <f t="shared" si="33"/>
        <v>3581.8242003847272</v>
      </c>
      <c r="L61" s="145">
        <f t="shared" si="33"/>
        <v>178.32852634622401</v>
      </c>
      <c r="M61" s="145">
        <f t="shared" si="34"/>
        <v>1</v>
      </c>
      <c r="N61" s="145">
        <f t="shared" si="34"/>
        <v>0.74081822068171788</v>
      </c>
      <c r="O61" s="145">
        <f t="shared" si="34"/>
        <v>0.40656965974059905</v>
      </c>
      <c r="P61" s="145">
        <f t="shared" si="34"/>
        <v>6.720551273974977E-2</v>
      </c>
      <c r="Q61" s="145">
        <f t="shared" si="34"/>
        <v>3.3459654574712729E-3</v>
      </c>
      <c r="R61" s="145">
        <f t="shared" si="34"/>
        <v>1.8762928882029207E-5</v>
      </c>
      <c r="S61" s="145">
        <f t="shared" ref="S61:X61" si="36">S60/1.95</f>
        <v>14.245163181520359</v>
      </c>
      <c r="T61" s="145">
        <f t="shared" si="36"/>
        <v>13.027802768802495</v>
      </c>
      <c r="U61" s="145">
        <f t="shared" si="36"/>
        <v>11.564925436551277</v>
      </c>
      <c r="V61" s="145">
        <f t="shared" si="36"/>
        <v>9.9651172859866168</v>
      </c>
      <c r="W61" s="145">
        <f t="shared" si="36"/>
        <v>8.5866150256029776</v>
      </c>
      <c r="X61" s="145">
        <f t="shared" si="36"/>
        <v>7.3988047989754335</v>
      </c>
      <c r="Y61" s="71"/>
      <c r="Z61" s="147">
        <f>(1/S61*100)/DieselLHV</f>
        <v>0.19176148054517705</v>
      </c>
      <c r="AA61" s="147" t="e">
        <f>1/SUMIFS(#REF!,#REF!,Analytica!$C61,#REF!,RIGHT(Analytica!$D61,3))</f>
        <v>#REF!</v>
      </c>
      <c r="AB61" s="147" t="e">
        <f>1/SUMIFS(#REF!,#REF!,Analytica!$C61,#REF!,RIGHT(Analytica!$D61,3))</f>
        <v>#REF!</v>
      </c>
      <c r="AC61" s="147" t="e">
        <f>1/SUMIFS(#REF!,#REF!,Analytica!$C61,#REF!,RIGHT(Analytica!$D61,3))</f>
        <v>#REF!</v>
      </c>
      <c r="AD61" s="147" t="e">
        <f>1/SUMIFS(#REF!,#REF!,Analytica!$C61,#REF!,RIGHT(Analytica!$D61,3))</f>
        <v>#REF!</v>
      </c>
      <c r="AE61" s="147" t="e">
        <f>1/SUMIFS(#REF!,#REF!,Analytica!$C61,#REF!,RIGHT(Analytica!$D61,3))</f>
        <v>#REF!</v>
      </c>
      <c r="AF61" s="147"/>
      <c r="AG61" s="71">
        <v>1</v>
      </c>
      <c r="AH61" s="148"/>
      <c r="AI61" s="148"/>
      <c r="AJ61" s="148"/>
      <c r="AK61" s="149"/>
      <c r="AL61" s="149"/>
      <c r="AM61" s="149"/>
      <c r="AN61" s="149"/>
      <c r="AO61" s="149"/>
      <c r="AP61" s="149"/>
      <c r="AQ61" s="149"/>
      <c r="AR61" s="152"/>
      <c r="AS61" s="150"/>
      <c r="AT61" s="151"/>
      <c r="AU61" s="152"/>
      <c r="AV61" s="152"/>
      <c r="AW61" s="152"/>
      <c r="AX61" s="152"/>
      <c r="AY61" s="153"/>
      <c r="BA61" s="154">
        <v>0</v>
      </c>
      <c r="BC61" s="90">
        <f>BC60-BC59</f>
        <v>0</v>
      </c>
      <c r="BD61" s="90">
        <f>BC61/5.5</f>
        <v>0</v>
      </c>
      <c r="BE61" s="63" t="s">
        <v>336</v>
      </c>
    </row>
    <row r="62" spans="1:69" ht="15.75" thickBot="1" x14ac:dyDescent="0.3">
      <c r="A62" s="63" t="str">
        <f t="shared" si="32"/>
        <v>BUSBGS</v>
      </c>
      <c r="B62" s="63" t="str">
        <f t="shared" ref="B62:B70" si="37">D62&amp;C62&amp;"-N"</f>
        <v>TPPUBUSBGS-N</v>
      </c>
      <c r="C62" s="63" t="s">
        <v>337</v>
      </c>
      <c r="D62" s="63" t="s">
        <v>235</v>
      </c>
      <c r="E62" s="63" t="s">
        <v>338</v>
      </c>
      <c r="F62" s="144">
        <f t="shared" si="35"/>
        <v>0.06</v>
      </c>
      <c r="G62" s="145">
        <f t="shared" si="35"/>
        <v>53296.583187381897</v>
      </c>
      <c r="H62" s="145">
        <f t="shared" si="33"/>
        <v>53296.583187381897</v>
      </c>
      <c r="I62" s="145">
        <f t="shared" si="33"/>
        <v>39483.079925291415</v>
      </c>
      <c r="J62" s="145">
        <f t="shared" si="33"/>
        <v>21668.773691830389</v>
      </c>
      <c r="K62" s="145">
        <f t="shared" si="33"/>
        <v>3581.8242003847272</v>
      </c>
      <c r="L62" s="145">
        <f t="shared" si="33"/>
        <v>178.32852634622401</v>
      </c>
      <c r="M62" s="145">
        <f t="shared" si="34"/>
        <v>1</v>
      </c>
      <c r="N62" s="145">
        <f t="shared" si="34"/>
        <v>0.74081822068171788</v>
      </c>
      <c r="O62" s="145">
        <f t="shared" si="34"/>
        <v>0.40656965974059905</v>
      </c>
      <c r="P62" s="145">
        <f t="shared" si="34"/>
        <v>6.720551273974977E-2</v>
      </c>
      <c r="Q62" s="145">
        <f t="shared" si="34"/>
        <v>3.3459654574712729E-3</v>
      </c>
      <c r="R62" s="145">
        <f t="shared" si="34"/>
        <v>1.8762928882029207E-5</v>
      </c>
      <c r="S62" s="145">
        <f>1/1.99706732856821 *100</f>
        <v>50.073424450689217</v>
      </c>
      <c r="T62" s="145">
        <f>S62</f>
        <v>50.073424450689217</v>
      </c>
      <c r="U62" s="145">
        <f>S62/((1+T$57)^(U$58-S$58))</f>
        <v>40.652073461414624</v>
      </c>
      <c r="V62" s="145">
        <f>T62/((1+U$57)^(V$58-T$58))</f>
        <v>38.301742543802312</v>
      </c>
      <c r="W62" s="145">
        <f>U62/((1+V$57)^(W$58-U$58))</f>
        <v>30.182961984560066</v>
      </c>
      <c r="X62" s="145">
        <f>V62/((1+W$57)^(X$58-V$58))</f>
        <v>28.437910805196189</v>
      </c>
      <c r="Y62" s="71"/>
      <c r="Z62" s="145">
        <v>8.6828034906075102E-2</v>
      </c>
      <c r="AA62" s="147" t="e">
        <f>1/SUMIFS(#REF!,#REF!,Analytica!$C62,#REF!,RIGHT(Analytica!$D62,3))</f>
        <v>#REF!</v>
      </c>
      <c r="AB62" s="147" t="e">
        <f>1/SUMIFS(#REF!,#REF!,Analytica!$C62,#REF!,RIGHT(Analytica!$D62,3))</f>
        <v>#REF!</v>
      </c>
      <c r="AC62" s="147" t="e">
        <f>1/SUMIFS(#REF!,#REF!,Analytica!$C62,#REF!,RIGHT(Analytica!$D62,3))</f>
        <v>#REF!</v>
      </c>
      <c r="AD62" s="147" t="e">
        <f>1/SUMIFS(#REF!,#REF!,Analytica!$C62,#REF!,RIGHT(Analytica!$D62,3))</f>
        <v>#REF!</v>
      </c>
      <c r="AE62" s="147" t="e">
        <f>1/SUMIFS(#REF!,#REF!,Analytica!$C62,#REF!,RIGHT(Analytica!$D62,3))</f>
        <v>#REF!</v>
      </c>
      <c r="AF62" s="147"/>
      <c r="AG62" s="71">
        <v>1</v>
      </c>
      <c r="AH62" s="148"/>
      <c r="AI62" s="148"/>
      <c r="AJ62" s="148"/>
      <c r="AK62" s="149"/>
      <c r="AL62" s="149"/>
      <c r="AM62" s="149"/>
      <c r="AN62" s="149"/>
      <c r="AO62" s="149"/>
      <c r="AP62" s="149"/>
      <c r="AQ62" s="149"/>
      <c r="AR62" s="152"/>
      <c r="AS62" s="150"/>
      <c r="AT62" s="151"/>
      <c r="AU62" s="152"/>
      <c r="AV62" s="152"/>
      <c r="AW62" s="152"/>
      <c r="AX62" s="152"/>
      <c r="AY62" s="153"/>
      <c r="BA62" s="154">
        <v>0</v>
      </c>
      <c r="BC62" s="90">
        <f>BC61-BC60</f>
        <v>0</v>
      </c>
      <c r="BD62" s="90">
        <f>BC62/5.5</f>
        <v>0</v>
      </c>
      <c r="BE62" s="63" t="s">
        <v>336</v>
      </c>
    </row>
    <row r="63" spans="1:69" x14ac:dyDescent="0.25">
      <c r="A63" s="63" t="str">
        <f t="shared" si="32"/>
        <v>BUSELC</v>
      </c>
      <c r="B63" s="63" t="str">
        <f t="shared" si="37"/>
        <v>TPPUBUSELC-N</v>
      </c>
      <c r="C63" s="63" t="s">
        <v>250</v>
      </c>
      <c r="D63" s="63" t="s">
        <v>235</v>
      </c>
      <c r="E63" s="65" t="s">
        <v>339</v>
      </c>
      <c r="F63" s="144">
        <f t="shared" si="35"/>
        <v>0.06</v>
      </c>
      <c r="G63" s="71">
        <f t="shared" si="35"/>
        <v>53296.583187381897</v>
      </c>
      <c r="H63" s="71">
        <f t="shared" si="33"/>
        <v>53296.583187381897</v>
      </c>
      <c r="I63" s="71">
        <f t="shared" si="33"/>
        <v>39483.079925291415</v>
      </c>
      <c r="J63" s="71">
        <f t="shared" si="33"/>
        <v>21668.773691830389</v>
      </c>
      <c r="K63" s="71">
        <f t="shared" si="33"/>
        <v>3581.8242003847272</v>
      </c>
      <c r="L63" s="71">
        <f t="shared" si="33"/>
        <v>178.32852634622401</v>
      </c>
      <c r="M63" s="71">
        <f t="shared" si="34"/>
        <v>1</v>
      </c>
      <c r="N63" s="71">
        <f t="shared" si="34"/>
        <v>0.74081822068171788</v>
      </c>
      <c r="O63" s="71">
        <f t="shared" si="34"/>
        <v>0.40656965974059905</v>
      </c>
      <c r="P63" s="71">
        <f t="shared" si="34"/>
        <v>6.720551273974977E-2</v>
      </c>
      <c r="Q63" s="71">
        <f t="shared" si="34"/>
        <v>3.3459654574712729E-3</v>
      </c>
      <c r="R63" s="71">
        <f t="shared" si="34"/>
        <v>1.8762928882029207E-5</v>
      </c>
      <c r="S63" s="155"/>
      <c r="T63" s="156"/>
      <c r="U63" s="156"/>
      <c r="V63" s="156"/>
      <c r="W63" s="156"/>
      <c r="X63" s="157"/>
      <c r="Y63" s="71"/>
      <c r="Z63" s="147" t="e">
        <f>(AA63/AB63)*AA63</f>
        <v>#REF!</v>
      </c>
      <c r="AA63" s="147" t="e">
        <f>1/SUMIFS(#REF!,#REF!,Analytica!$C63,#REF!,RIGHT(Analytica!$D63,3))</f>
        <v>#REF!</v>
      </c>
      <c r="AB63" s="147" t="e">
        <f>1/SUMIFS(#REF!,#REF!,Analytica!$C63,#REF!,RIGHT(Analytica!$D63,3))</f>
        <v>#REF!</v>
      </c>
      <c r="AC63" s="147" t="e">
        <f>1/SUMIFS(#REF!,#REF!,Analytica!$C63,#REF!,RIGHT(Analytica!$D63,3))</f>
        <v>#REF!</v>
      </c>
      <c r="AD63" s="147" t="e">
        <f>1/SUMIFS(#REF!,#REF!,Analytica!$C63,#REF!,RIGHT(Analytica!$D63,3))</f>
        <v>#REF!</v>
      </c>
      <c r="AE63" s="147" t="e">
        <f>1/SUMIFS(#REF!,#REF!,Analytica!$C63,#REF!,RIGHT(Analytica!$D63,3))</f>
        <v>#REF!</v>
      </c>
      <c r="AF63" s="147"/>
      <c r="AG63" s="71">
        <f>AG62</f>
        <v>1</v>
      </c>
      <c r="AH63" s="71"/>
      <c r="AI63" s="71"/>
      <c r="AJ63" s="71"/>
      <c r="AK63" s="149"/>
      <c r="AL63" s="149"/>
      <c r="AM63" s="149"/>
      <c r="AN63" s="149"/>
      <c r="AO63" s="149"/>
      <c r="AP63" s="149"/>
      <c r="AQ63" s="149"/>
      <c r="AR63" s="152"/>
      <c r="AS63" s="150"/>
      <c r="AT63" s="151"/>
      <c r="AU63" s="152"/>
      <c r="AV63" s="152"/>
      <c r="AW63" s="152"/>
      <c r="AX63" s="152"/>
      <c r="AY63" s="153"/>
      <c r="BA63" s="112">
        <v>0</v>
      </c>
      <c r="BC63" s="63">
        <f>BC62-BC61</f>
        <v>0</v>
      </c>
      <c r="BD63" s="63">
        <f>BC63/5.5</f>
        <v>0</v>
      </c>
      <c r="BE63" s="63" t="s">
        <v>336</v>
      </c>
    </row>
    <row r="64" spans="1:69" x14ac:dyDescent="0.25">
      <c r="A64" s="63" t="str">
        <f t="shared" si="32"/>
        <v>CARODSH</v>
      </c>
      <c r="B64" s="63" t="str">
        <f t="shared" si="37"/>
        <v>TPPRCARODSH-N</v>
      </c>
      <c r="C64" s="63" t="s">
        <v>340</v>
      </c>
      <c r="D64" s="63" t="s">
        <v>238</v>
      </c>
      <c r="E64" s="63" t="s">
        <v>341</v>
      </c>
      <c r="F64" s="144">
        <f>INDEX($F$17:$F$49,MATCH($E64,$E$17:$E$49,0))</f>
        <v>2.2499999999999999E-2</v>
      </c>
      <c r="G64" s="145">
        <f>G65</f>
        <v>18220.3496192737</v>
      </c>
      <c r="H64" s="145">
        <f t="shared" si="33"/>
        <v>18220.3496192737</v>
      </c>
      <c r="I64" s="145">
        <f t="shared" si="33"/>
        <v>16281.656083172633</v>
      </c>
      <c r="J64" s="145">
        <f t="shared" si="33"/>
        <v>13001.166450675621</v>
      </c>
      <c r="K64" s="145">
        <f t="shared" si="33"/>
        <v>6619.6273737489537</v>
      </c>
      <c r="L64" s="145">
        <f t="shared" si="33"/>
        <v>2149.0783598804705</v>
      </c>
      <c r="M64" s="145">
        <f t="shared" si="34"/>
        <v>1</v>
      </c>
      <c r="N64" s="145">
        <f t="shared" si="34"/>
        <v>0.89359734710851568</v>
      </c>
      <c r="O64" s="145">
        <f t="shared" si="34"/>
        <v>0.71355197470650256</v>
      </c>
      <c r="P64" s="145">
        <f t="shared" si="34"/>
        <v>0.36330956935901132</v>
      </c>
      <c r="Q64" s="145">
        <f t="shared" si="34"/>
        <v>0.11794934810730252</v>
      </c>
      <c r="R64" s="145">
        <f t="shared" si="34"/>
        <v>5.4883688891578029E-5</v>
      </c>
      <c r="S64" s="71">
        <f>S65/1.3</f>
        <v>7.3486308598534613</v>
      </c>
      <c r="T64" s="145">
        <f>W20</f>
        <v>5.8008636405175897</v>
      </c>
      <c r="U64" s="145">
        <f>S64/((1+T$57)^(U$58-S$58))</f>
        <v>5.9659806540646843</v>
      </c>
      <c r="V64" s="145">
        <f t="shared" ref="V64:X67" si="38">U64/((1+V$57)^(V$58-U$58))</f>
        <v>5.1406900346960249</v>
      </c>
      <c r="W64" s="145">
        <f t="shared" si="38"/>
        <v>4.4295641513383455</v>
      </c>
      <c r="X64" s="145">
        <f t="shared" si="38"/>
        <v>3.8168102800195403</v>
      </c>
      <c r="Y64" s="71"/>
      <c r="Z64" s="147">
        <f>(1/S64*100)/DieselLHV</f>
        <v>0.37172551382591296</v>
      </c>
      <c r="AA64" s="147" t="e">
        <f>1/SUMIFS(#REF!,#REF!,Analytica!$C64,#REF!,RIGHT(Analytica!$D64,3))</f>
        <v>#REF!</v>
      </c>
      <c r="AB64" s="147" t="e">
        <f>1/SUMIFS(#REF!,#REF!,Analytica!$C64,#REF!,RIGHT(Analytica!$D64,3))</f>
        <v>#REF!</v>
      </c>
      <c r="AC64" s="147" t="e">
        <f>1/SUMIFS(#REF!,#REF!,Analytica!$C64,#REF!,RIGHT(Analytica!$D64,3))</f>
        <v>#REF!</v>
      </c>
      <c r="AD64" s="147" t="e">
        <f>1/SUMIFS(#REF!,#REF!,Analytica!$C64,#REF!,RIGHT(Analytica!$D64,3))</f>
        <v>#REF!</v>
      </c>
      <c r="AE64" s="147" t="e">
        <f>1/SUMIFS(#REF!,#REF!,Analytica!$C64,#REF!,RIGHT(Analytica!$D64,3))</f>
        <v>#REF!</v>
      </c>
      <c r="AF64" s="147"/>
      <c r="AG64" s="71">
        <v>1</v>
      </c>
      <c r="AH64" s="146">
        <f>AH66/AH67*AH65</f>
        <v>264.85293551850634</v>
      </c>
      <c r="AI64" s="146"/>
      <c r="AJ64" s="148"/>
      <c r="AK64" s="149"/>
      <c r="AL64" s="149"/>
      <c r="AM64" s="149"/>
      <c r="AN64" s="149"/>
      <c r="AO64" s="149"/>
      <c r="AP64" s="149"/>
      <c r="AQ64" s="149"/>
      <c r="AR64" s="152"/>
      <c r="AS64" s="150"/>
      <c r="AT64" s="151"/>
      <c r="AU64" s="152"/>
      <c r="AV64" s="152"/>
      <c r="AW64" s="152"/>
      <c r="AX64" s="152"/>
      <c r="AY64" s="153"/>
      <c r="BA64" s="154">
        <f t="shared" ref="BA64:BA117" si="39">SUMIF($E$17:$E$41,E64,$AR$17:$AR$41)/SUMIF($D$17:$D$41,D64,$AR$17:$AR$41)</f>
        <v>0</v>
      </c>
      <c r="BC64" s="90"/>
    </row>
    <row r="65" spans="1:57" x14ac:dyDescent="0.25">
      <c r="A65" s="63" t="str">
        <f t="shared" si="32"/>
        <v>CARODS</v>
      </c>
      <c r="B65" s="63" t="str">
        <f t="shared" si="37"/>
        <v>TPPRCARODS-N</v>
      </c>
      <c r="C65" s="63" t="s">
        <v>234</v>
      </c>
      <c r="D65" s="63" t="s">
        <v>238</v>
      </c>
      <c r="E65" s="63" t="s">
        <v>239</v>
      </c>
      <c r="F65" s="144">
        <f>INDEX($F$17:$F$49,MATCH($E65,$E$17:$E$49,0))</f>
        <v>2.2499999999999999E-2</v>
      </c>
      <c r="G65" s="145">
        <f>G18</f>
        <v>18220.3496192737</v>
      </c>
      <c r="H65" s="145">
        <f t="shared" si="33"/>
        <v>18220.3496192737</v>
      </c>
      <c r="I65" s="145">
        <f t="shared" si="33"/>
        <v>16281.656083172633</v>
      </c>
      <c r="J65" s="145">
        <f t="shared" si="33"/>
        <v>13001.166450675621</v>
      </c>
      <c r="K65" s="145">
        <f t="shared" si="33"/>
        <v>6619.6273737489537</v>
      </c>
      <c r="L65" s="145">
        <f t="shared" si="33"/>
        <v>2149.0783598804705</v>
      </c>
      <c r="M65" s="145">
        <f t="shared" si="34"/>
        <v>1</v>
      </c>
      <c r="N65" s="145">
        <f t="shared" si="34"/>
        <v>0.89359734710851568</v>
      </c>
      <c r="O65" s="145">
        <f t="shared" si="34"/>
        <v>0.71355197470650256</v>
      </c>
      <c r="P65" s="145">
        <f t="shared" si="34"/>
        <v>0.36330956935901132</v>
      </c>
      <c r="Q65" s="145">
        <f t="shared" si="34"/>
        <v>0.11794934810730252</v>
      </c>
      <c r="R65" s="145">
        <f t="shared" si="34"/>
        <v>5.4883688891578029E-5</v>
      </c>
      <c r="S65" s="71">
        <f>S67/$AD$55</f>
        <v>9.5532201178095004</v>
      </c>
      <c r="T65" s="146">
        <f>W18</f>
        <v>7.9055959462827703</v>
      </c>
      <c r="U65" s="145">
        <f>S65/((1+T$57)^(U$58-S$58))</f>
        <v>7.7557748502840909</v>
      </c>
      <c r="V65" s="145">
        <f t="shared" si="38"/>
        <v>6.6828970451048333</v>
      </c>
      <c r="W65" s="145">
        <f t="shared" si="38"/>
        <v>5.7584333967398491</v>
      </c>
      <c r="X65" s="145">
        <f t="shared" si="38"/>
        <v>4.9618533640254023</v>
      </c>
      <c r="Y65" s="145"/>
      <c r="Z65" s="147">
        <f>(1/S65*100)/DieselLHV</f>
        <v>0.28594270294300994</v>
      </c>
      <c r="AA65" s="147" t="e">
        <f>1/SUMIFS(#REF!,#REF!,Analytica!$C65,#REF!,RIGHT(Analytica!$D65,3))</f>
        <v>#REF!</v>
      </c>
      <c r="AB65" s="147" t="e">
        <f>1/SUMIFS(#REF!,#REF!,Analytica!$C65,#REF!,RIGHT(Analytica!$D65,3))</f>
        <v>#REF!</v>
      </c>
      <c r="AC65" s="147" t="e">
        <f>1/SUMIFS(#REF!,#REF!,Analytica!$C65,#REF!,RIGHT(Analytica!$D65,3))</f>
        <v>#REF!</v>
      </c>
      <c r="AD65" s="147" t="e">
        <f>1/SUMIFS(#REF!,#REF!,Analytica!$C65,#REF!,RIGHT(Analytica!$D65,3))</f>
        <v>#REF!</v>
      </c>
      <c r="AE65" s="147" t="e">
        <f>1/SUMIFS(#REF!,#REF!,Analytica!$C65,#REF!,RIGHT(Analytica!$D65,3))</f>
        <v>#REF!</v>
      </c>
      <c r="AF65" s="147"/>
      <c r="AG65" s="71"/>
      <c r="AH65" s="148">
        <v>115.675</v>
      </c>
      <c r="AI65" s="148">
        <v>369.64159214636322</v>
      </c>
      <c r="AJ65" s="148"/>
      <c r="AK65" s="149"/>
      <c r="AL65" s="149"/>
      <c r="AM65" s="149"/>
      <c r="AN65" s="149"/>
      <c r="AO65" s="149"/>
      <c r="AP65" s="149"/>
      <c r="AQ65" s="149"/>
      <c r="AR65" s="152"/>
      <c r="AS65" s="150"/>
      <c r="AT65" s="151"/>
      <c r="AU65" s="152"/>
      <c r="AV65" s="152"/>
      <c r="AW65" s="152"/>
      <c r="AX65" s="152"/>
      <c r="AY65" s="153"/>
      <c r="BA65" s="154">
        <f t="shared" si="39"/>
        <v>5.950319541892235E-2</v>
      </c>
      <c r="BC65" s="90"/>
    </row>
    <row r="66" spans="1:57" x14ac:dyDescent="0.25">
      <c r="A66" s="63" t="str">
        <f t="shared" si="32"/>
        <v>CAROGSH</v>
      </c>
      <c r="B66" s="63" t="str">
        <f t="shared" si="37"/>
        <v>TPPRCAROGSH-N</v>
      </c>
      <c r="C66" s="63" t="s">
        <v>342</v>
      </c>
      <c r="D66" s="63" t="s">
        <v>238</v>
      </c>
      <c r="E66" s="63" t="s">
        <v>343</v>
      </c>
      <c r="F66" s="144">
        <f>INDEX($F$17:$F$49,MATCH($E66,$E$17:$E$49,0))</f>
        <v>0.02</v>
      </c>
      <c r="G66" s="145">
        <f>G21</f>
        <v>18345.381909407301</v>
      </c>
      <c r="H66" s="145">
        <f t="shared" si="33"/>
        <v>18345.381909407301</v>
      </c>
      <c r="I66" s="145">
        <f t="shared" si="33"/>
        <v>16599.587999791704</v>
      </c>
      <c r="J66" s="145">
        <f t="shared" si="33"/>
        <v>13590.593183853691</v>
      </c>
      <c r="K66" s="145">
        <f t="shared" si="33"/>
        <v>7458.6756807190668</v>
      </c>
      <c r="L66" s="145">
        <f t="shared" si="33"/>
        <v>2743.8934413019574</v>
      </c>
      <c r="M66" s="145">
        <f t="shared" si="34"/>
        <v>1</v>
      </c>
      <c r="N66" s="145">
        <f t="shared" si="34"/>
        <v>0.90483741803595952</v>
      </c>
      <c r="O66" s="145">
        <f t="shared" si="34"/>
        <v>0.74081822068171777</v>
      </c>
      <c r="P66" s="145">
        <f t="shared" si="34"/>
        <v>0.406569659740599</v>
      </c>
      <c r="Q66" s="145">
        <f t="shared" si="34"/>
        <v>0.14956861922263501</v>
      </c>
      <c r="R66" s="145">
        <f t="shared" si="34"/>
        <v>5.4509631085260292E-5</v>
      </c>
      <c r="S66" s="71">
        <f>S67/1.3</f>
        <v>6.4038461538461533</v>
      </c>
      <c r="T66" s="145">
        <f>W21</f>
        <v>6.0121796481091199</v>
      </c>
      <c r="U66" s="145">
        <f>S66/((1+T$57)^(U$58-S$58))</f>
        <v>5.1989578731152291</v>
      </c>
      <c r="V66" s="145">
        <f t="shared" si="38"/>
        <v>4.4797716383674562</v>
      </c>
      <c r="W66" s="145">
        <f t="shared" si="38"/>
        <v>3.8600724263796415</v>
      </c>
      <c r="X66" s="145">
        <f t="shared" si="38"/>
        <v>3.3260979218856819</v>
      </c>
      <c r="Y66" s="158"/>
      <c r="Z66" s="147">
        <f>AD57/S66</f>
        <v>0.45659694782501747</v>
      </c>
      <c r="AA66" s="147" t="e">
        <f>1/SUMIFS(#REF!,#REF!,Analytica!$C66,#REF!,RIGHT(Analytica!$D66,3))</f>
        <v>#REF!</v>
      </c>
      <c r="AB66" s="147" t="e">
        <f>1/SUMIFS(#REF!,#REF!,Analytica!$C66,#REF!,RIGHT(Analytica!$D66,3))</f>
        <v>#REF!</v>
      </c>
      <c r="AC66" s="147" t="e">
        <f>1/SUMIFS(#REF!,#REF!,Analytica!$C66,#REF!,RIGHT(Analytica!$D66,3))</f>
        <v>#REF!</v>
      </c>
      <c r="AD66" s="147" t="e">
        <f>1/SUMIFS(#REF!,#REF!,Analytica!$C66,#REF!,RIGHT(Analytica!$D66,3))</f>
        <v>#REF!</v>
      </c>
      <c r="AE66" s="147" t="e">
        <f>1/SUMIFS(#REF!,#REF!,Analytica!$C66,#REF!,RIGHT(Analytica!$D66,3))</f>
        <v>#REF!</v>
      </c>
      <c r="AF66" s="147"/>
      <c r="AG66" s="71">
        <v>1</v>
      </c>
      <c r="AH66" s="148">
        <v>230.30699999999999</v>
      </c>
      <c r="AI66" s="148">
        <v>574.98525193798446</v>
      </c>
      <c r="AJ66" s="148"/>
      <c r="AK66" s="149"/>
      <c r="AL66" s="149"/>
      <c r="AM66" s="149"/>
      <c r="AN66" s="149"/>
      <c r="AO66" s="149"/>
      <c r="AP66" s="149"/>
      <c r="AQ66" s="149"/>
      <c r="AR66" s="152"/>
      <c r="AS66" s="150"/>
      <c r="AT66" s="151"/>
      <c r="AU66" s="152"/>
      <c r="AV66" s="152"/>
      <c r="AW66" s="152"/>
      <c r="AX66" s="152"/>
      <c r="AY66" s="153"/>
      <c r="BA66" s="154">
        <f t="shared" si="39"/>
        <v>8.8338186721910602E-4</v>
      </c>
      <c r="BC66" s="90"/>
    </row>
    <row r="67" spans="1:57" x14ac:dyDescent="0.25">
      <c r="A67" s="63" t="str">
        <f t="shared" si="32"/>
        <v>CAROGS</v>
      </c>
      <c r="B67" s="63" t="str">
        <f t="shared" si="37"/>
        <v>TPPRCAROGS-N</v>
      </c>
      <c r="C67" s="63" t="s">
        <v>241</v>
      </c>
      <c r="D67" s="63" t="s">
        <v>238</v>
      </c>
      <c r="E67" s="63" t="s">
        <v>242</v>
      </c>
      <c r="F67" s="144">
        <f>INDEX($F$17:$F$49,MATCH($E67,$E$17:$E$49,0))</f>
        <v>1.9099999999999999E-2</v>
      </c>
      <c r="G67" s="159">
        <f>G22</f>
        <v>21358.407707781298</v>
      </c>
      <c r="H67" s="145">
        <f t="shared" si="33"/>
        <v>21358.407707781298</v>
      </c>
      <c r="I67" s="145">
        <f t="shared" si="33"/>
        <v>19413.048941287721</v>
      </c>
      <c r="J67" s="145">
        <f t="shared" si="33"/>
        <v>16037.752365771819</v>
      </c>
      <c r="K67" s="145">
        <f t="shared" si="33"/>
        <v>9042.5884447033513</v>
      </c>
      <c r="L67" s="145">
        <f t="shared" si="33"/>
        <v>3479.6978517162797</v>
      </c>
      <c r="M67" s="145">
        <f t="shared" si="34"/>
        <v>1</v>
      </c>
      <c r="N67" s="145">
        <f t="shared" si="34"/>
        <v>0.90891836165367124</v>
      </c>
      <c r="O67" s="145">
        <f t="shared" si="34"/>
        <v>0.75088707853109027</v>
      </c>
      <c r="P67" s="145">
        <f t="shared" si="34"/>
        <v>0.42337371626298503</v>
      </c>
      <c r="Q67" s="145">
        <f t="shared" si="34"/>
        <v>0.16291934770252353</v>
      </c>
      <c r="R67" s="145">
        <f t="shared" si="34"/>
        <v>4.6819969619536754E-5</v>
      </c>
      <c r="S67" s="71">
        <v>8.3249999999999993</v>
      </c>
      <c r="T67" s="146">
        <f>W19</f>
        <v>8.1935839212683703</v>
      </c>
      <c r="U67" s="145">
        <f>S67/((1+T$57)^(U$58-S$58))</f>
        <v>6.7586452350497979</v>
      </c>
      <c r="V67" s="145">
        <f t="shared" si="38"/>
        <v>5.8237031298776936</v>
      </c>
      <c r="W67" s="145">
        <f t="shared" si="38"/>
        <v>5.0180941542935349</v>
      </c>
      <c r="X67" s="145">
        <f t="shared" si="38"/>
        <v>4.3239272984513875</v>
      </c>
      <c r="Y67" s="160"/>
      <c r="Z67" s="147">
        <v>0.36237354673108862</v>
      </c>
      <c r="AA67" s="147" t="e">
        <f>1/SUMIFS(#REF!,#REF!,Analytica!$C67,#REF!,RIGHT(Analytica!$D67,3))</f>
        <v>#REF!</v>
      </c>
      <c r="AB67" s="147" t="e">
        <f>1/SUMIFS(#REF!,#REF!,Analytica!$C67,#REF!,RIGHT(Analytica!$D67,3))</f>
        <v>#REF!</v>
      </c>
      <c r="AC67" s="147" t="e">
        <f>1/SUMIFS(#REF!,#REF!,Analytica!$C67,#REF!,RIGHT(Analytica!$D67,3))</f>
        <v>#REF!</v>
      </c>
      <c r="AD67" s="147" t="e">
        <f>1/SUMIFS(#REF!,#REF!,Analytica!$C67,#REF!,RIGHT(Analytica!$D67,3))</f>
        <v>#REF!</v>
      </c>
      <c r="AE67" s="147" t="e">
        <f>1/SUMIFS(#REF!,#REF!,Analytica!$C67,#REF!,RIGHT(Analytica!$D67,3))</f>
        <v>#REF!</v>
      </c>
      <c r="AF67" s="147"/>
      <c r="AG67" s="71"/>
      <c r="AH67" s="148">
        <v>100.587</v>
      </c>
      <c r="AI67" s="148">
        <v>307.29171966885525</v>
      </c>
      <c r="AJ67" s="148"/>
      <c r="AK67" s="149"/>
      <c r="AL67" s="149"/>
      <c r="AM67" s="149"/>
      <c r="AN67" s="149"/>
      <c r="AO67" s="149"/>
      <c r="AP67" s="149"/>
      <c r="AQ67" s="149"/>
      <c r="AR67" s="152"/>
      <c r="AS67" s="150"/>
      <c r="AT67" s="151"/>
      <c r="AU67" s="152"/>
      <c r="AV67" s="152"/>
      <c r="AW67" s="152"/>
      <c r="AX67" s="152"/>
      <c r="AY67" s="153"/>
      <c r="BA67" s="154">
        <f t="shared" si="39"/>
        <v>0.93935153516915204</v>
      </c>
      <c r="BB67" s="63" t="s">
        <v>71</v>
      </c>
      <c r="BC67" s="90">
        <f>AJ67*1000</f>
        <v>0</v>
      </c>
    </row>
    <row r="68" spans="1:57" x14ac:dyDescent="0.25">
      <c r="A68" s="63" t="str">
        <f t="shared" si="32"/>
        <v>CARBGS</v>
      </c>
      <c r="B68" s="63" t="str">
        <f t="shared" si="37"/>
        <v>TPPRCARBGS-N</v>
      </c>
      <c r="C68" s="63" t="s">
        <v>337</v>
      </c>
      <c r="D68" s="63" t="s">
        <v>238</v>
      </c>
      <c r="E68" s="63" t="s">
        <v>344</v>
      </c>
      <c r="F68" s="144">
        <f>F67</f>
        <v>1.9099999999999999E-2</v>
      </c>
      <c r="G68" s="145">
        <f>G67</f>
        <v>21358.407707781298</v>
      </c>
      <c r="H68" s="145">
        <f t="shared" si="33"/>
        <v>21358.407707781298</v>
      </c>
      <c r="I68" s="145">
        <f t="shared" si="33"/>
        <v>19413.048941287721</v>
      </c>
      <c r="J68" s="145">
        <f t="shared" si="33"/>
        <v>16037.752365771819</v>
      </c>
      <c r="K68" s="145">
        <f t="shared" si="33"/>
        <v>9042.5884447033513</v>
      </c>
      <c r="L68" s="145">
        <f t="shared" si="33"/>
        <v>3479.6978517162797</v>
      </c>
      <c r="M68" s="145">
        <f t="shared" si="34"/>
        <v>1</v>
      </c>
      <c r="N68" s="145">
        <f t="shared" si="34"/>
        <v>0.90891836165367124</v>
      </c>
      <c r="O68" s="145">
        <f t="shared" si="34"/>
        <v>0.75088707853109027</v>
      </c>
      <c r="P68" s="145">
        <f t="shared" si="34"/>
        <v>0.42337371626298503</v>
      </c>
      <c r="Q68" s="145">
        <f t="shared" si="34"/>
        <v>0.16291934770252353</v>
      </c>
      <c r="R68" s="145">
        <f t="shared" si="34"/>
        <v>4.6819969619536754E-5</v>
      </c>
      <c r="S68" s="145">
        <v>14.625253296955835</v>
      </c>
      <c r="T68" s="145">
        <f>S68</f>
        <v>14.625253296955835</v>
      </c>
      <c r="U68" s="145">
        <f>S68/((1+T$57)^(U$58-S$58))</f>
        <v>11.873501322146176</v>
      </c>
      <c r="V68" s="145">
        <f>T68/((1+U$57)^(V$58-T$58))</f>
        <v>11.187025704014699</v>
      </c>
      <c r="W68" s="145">
        <f>U68/((1+V$57)^(W$58-U$58))</f>
        <v>8.8157234924343939</v>
      </c>
      <c r="X68" s="145">
        <f>V68/((1+W$57)^(X$58-V$58))</f>
        <v>8.3060356531398938</v>
      </c>
      <c r="Y68" s="71"/>
      <c r="Z68" s="145">
        <v>0.2972787518815912</v>
      </c>
      <c r="AA68" s="147" t="e">
        <f>1/SUMIFS(#REF!,#REF!,Analytica!$C68,#REF!,RIGHT(Analytica!$D68,3))</f>
        <v>#REF!</v>
      </c>
      <c r="AB68" s="147" t="e">
        <f>1/SUMIFS(#REF!,#REF!,Analytica!$C68,#REF!,RIGHT(Analytica!$D68,3))</f>
        <v>#REF!</v>
      </c>
      <c r="AC68" s="147" t="e">
        <f>1/SUMIFS(#REF!,#REF!,Analytica!$C68,#REF!,RIGHT(Analytica!$D68,3))</f>
        <v>#REF!</v>
      </c>
      <c r="AD68" s="147" t="e">
        <f>1/SUMIFS(#REF!,#REF!,Analytica!$C68,#REF!,RIGHT(Analytica!$D68,3))</f>
        <v>#REF!</v>
      </c>
      <c r="AE68" s="147" t="e">
        <f>1/SUMIFS(#REF!,#REF!,Analytica!$C68,#REF!,RIGHT(Analytica!$D68,3))</f>
        <v>#REF!</v>
      </c>
      <c r="AF68" s="147"/>
      <c r="AG68" s="71"/>
      <c r="AH68" s="148">
        <v>100.587</v>
      </c>
      <c r="AI68" s="148">
        <v>307.29171966885525</v>
      </c>
      <c r="AJ68" s="148"/>
      <c r="AK68" s="149"/>
      <c r="AL68" s="149"/>
      <c r="AM68" s="149"/>
      <c r="AN68" s="149"/>
      <c r="AO68" s="149"/>
      <c r="AP68" s="149"/>
      <c r="AQ68" s="149"/>
      <c r="AR68" s="152"/>
      <c r="AS68" s="150"/>
      <c r="AT68" s="151"/>
      <c r="AU68" s="152"/>
      <c r="AV68" s="152"/>
      <c r="AW68" s="152"/>
      <c r="AX68" s="152"/>
      <c r="AY68" s="153"/>
      <c r="BA68" s="154">
        <f t="shared" si="39"/>
        <v>0</v>
      </c>
      <c r="BB68" s="63" t="s">
        <v>345</v>
      </c>
      <c r="BC68" s="90">
        <f>AJ68*1000</f>
        <v>0</v>
      </c>
      <c r="BD68" s="90"/>
    </row>
    <row r="69" spans="1:57" x14ac:dyDescent="0.25">
      <c r="A69" s="63" t="str">
        <f t="shared" si="32"/>
        <v>CARELC</v>
      </c>
      <c r="B69" s="63" t="str">
        <f t="shared" si="37"/>
        <v>TPPRCARELC-N</v>
      </c>
      <c r="C69" s="63" t="s">
        <v>250</v>
      </c>
      <c r="D69" s="63" t="s">
        <v>238</v>
      </c>
      <c r="E69" s="63" t="s">
        <v>251</v>
      </c>
      <c r="F69" s="144">
        <f>F67</f>
        <v>1.9099999999999999E-2</v>
      </c>
      <c r="G69" s="145">
        <f>G68</f>
        <v>21358.407707781298</v>
      </c>
      <c r="H69" s="145">
        <v>20416.763999999999</v>
      </c>
      <c r="I69" s="145">
        <v>18473.85202240953</v>
      </c>
      <c r="J69" s="145">
        <v>15125.110778558552</v>
      </c>
      <c r="K69" s="145">
        <v>8300.8367924841114</v>
      </c>
      <c r="L69" s="145">
        <v>3053.7072004744027</v>
      </c>
      <c r="M69" s="145">
        <f t="shared" si="34"/>
        <v>0.95591227020925162</v>
      </c>
      <c r="N69" s="145">
        <f t="shared" si="34"/>
        <v>0.86494519044503182</v>
      </c>
      <c r="O69" s="145">
        <f t="shared" si="34"/>
        <v>0.70815722714423923</v>
      </c>
      <c r="P69" s="145">
        <f t="shared" si="34"/>
        <v>0.38864492644083898</v>
      </c>
      <c r="Q69" s="145">
        <f t="shared" si="34"/>
        <v>0.14297447835317217</v>
      </c>
      <c r="R69" s="145">
        <f t="shared" si="34"/>
        <v>4.4755783450139569E-5</v>
      </c>
      <c r="S69" s="161">
        <v>20</v>
      </c>
      <c r="T69" s="145">
        <f t="shared" ref="T69:X71" si="40">S69/((1+T$57)^(T$58-S$58))</f>
        <v>18.29084385035744</v>
      </c>
      <c r="U69" s="145">
        <f t="shared" si="40"/>
        <v>16.236985549669182</v>
      </c>
      <c r="V69" s="145">
        <f t="shared" si="40"/>
        <v>13.990878390096558</v>
      </c>
      <c r="W69" s="145">
        <f t="shared" si="40"/>
        <v>12.055481451756236</v>
      </c>
      <c r="X69" s="145">
        <f t="shared" si="40"/>
        <v>10.387813329612939</v>
      </c>
      <c r="Y69" s="145"/>
      <c r="Z69" s="147" t="e">
        <f>(AA69/AB69)*AA69</f>
        <v>#REF!</v>
      </c>
      <c r="AA69" s="147" t="e">
        <f>1/SUMIFS(#REF!,#REF!,Analytica!$C69,#REF!,RIGHT(Analytica!$D69,3))</f>
        <v>#REF!</v>
      </c>
      <c r="AB69" s="147" t="e">
        <f>1/SUMIFS(#REF!,#REF!,Analytica!$C69,#REF!,RIGHT(Analytica!$D69,3))</f>
        <v>#REF!</v>
      </c>
      <c r="AC69" s="147" t="e">
        <f>1/SUMIFS(#REF!,#REF!,Analytica!$C69,#REF!,RIGHT(Analytica!$D69,3))</f>
        <v>#REF!</v>
      </c>
      <c r="AD69" s="147" t="e">
        <f>1/SUMIFS(#REF!,#REF!,Analytica!$C69,#REF!,RIGHT(Analytica!$D69,3))</f>
        <v>#REF!</v>
      </c>
      <c r="AE69" s="147" t="e">
        <f>1/SUMIFS(#REF!,#REF!,Analytica!$C69,#REF!,RIGHT(Analytica!$D69,3))</f>
        <v>#REF!</v>
      </c>
      <c r="AF69" s="147"/>
      <c r="AG69" s="71">
        <v>1</v>
      </c>
      <c r="AH69" s="148">
        <f>176.03*1.5</f>
        <v>264.04500000000002</v>
      </c>
      <c r="AI69" s="148">
        <v>464.3</v>
      </c>
      <c r="AJ69" s="148"/>
      <c r="AK69" s="149"/>
      <c r="AL69" s="149"/>
      <c r="AM69" s="149"/>
      <c r="AN69" s="149"/>
      <c r="AO69" s="149"/>
      <c r="AP69" s="149"/>
      <c r="AQ69" s="149"/>
      <c r="AR69" s="152"/>
      <c r="AS69" s="150"/>
      <c r="AT69" s="151"/>
      <c r="AU69" s="152"/>
      <c r="AV69" s="152"/>
      <c r="AW69" s="152"/>
      <c r="AX69" s="152"/>
      <c r="AY69" s="153"/>
      <c r="BA69" s="154">
        <f t="shared" si="39"/>
        <v>2.6188754470654916E-4</v>
      </c>
      <c r="BC69" s="90"/>
      <c r="BD69" s="91">
        <f>(BC70-BC67)/5.55</f>
        <v>0</v>
      </c>
    </row>
    <row r="70" spans="1:57" x14ac:dyDescent="0.25">
      <c r="A70" s="63" t="str">
        <f t="shared" si="32"/>
        <v>CARGAS</v>
      </c>
      <c r="B70" s="63" t="str">
        <f t="shared" si="37"/>
        <v>TPPRCARGAS-N</v>
      </c>
      <c r="C70" s="63" t="s">
        <v>294</v>
      </c>
      <c r="D70" s="63" t="s">
        <v>238</v>
      </c>
      <c r="E70" s="63" t="s">
        <v>346</v>
      </c>
      <c r="F70" s="144">
        <f>F69</f>
        <v>1.9099999999999999E-2</v>
      </c>
      <c r="G70" s="145">
        <f>G69</f>
        <v>21358.407707781298</v>
      </c>
      <c r="H70" s="145">
        <v>20416.763999999999</v>
      </c>
      <c r="I70" s="145">
        <v>18473.85202240953</v>
      </c>
      <c r="J70" s="145">
        <v>15125.110778558552</v>
      </c>
      <c r="K70" s="145">
        <v>8300.8367924841114</v>
      </c>
      <c r="L70" s="145">
        <v>3053.7072004744027</v>
      </c>
      <c r="M70" s="145">
        <f t="shared" si="34"/>
        <v>0.95591227020925162</v>
      </c>
      <c r="N70" s="145">
        <f t="shared" si="34"/>
        <v>0.86494519044503182</v>
      </c>
      <c r="O70" s="145">
        <f t="shared" si="34"/>
        <v>0.70815722714423923</v>
      </c>
      <c r="P70" s="145">
        <f t="shared" si="34"/>
        <v>0.38864492644083898</v>
      </c>
      <c r="Q70" s="145">
        <f t="shared" si="34"/>
        <v>0.14297447835317217</v>
      </c>
      <c r="R70" s="145">
        <f t="shared" si="34"/>
        <v>4.4755783450139569E-5</v>
      </c>
      <c r="S70" s="71">
        <v>8.5</v>
      </c>
      <c r="T70" s="145">
        <f t="shared" si="40"/>
        <v>7.7736086364019128</v>
      </c>
      <c r="U70" s="145">
        <f t="shared" si="40"/>
        <v>6.9007188586094035</v>
      </c>
      <c r="V70" s="145">
        <f t="shared" si="40"/>
        <v>5.9461233157910387</v>
      </c>
      <c r="W70" s="145">
        <f t="shared" si="40"/>
        <v>5.1235796169964019</v>
      </c>
      <c r="X70" s="145">
        <f t="shared" si="40"/>
        <v>4.4148206650855002</v>
      </c>
      <c r="Y70" s="145"/>
      <c r="Z70" s="147">
        <f>Z67/S67*S70</f>
        <v>0.36999100867438478</v>
      </c>
      <c r="AA70" s="147" t="e">
        <f>1/SUMIFS(#REF!,#REF!,Analytica!$C70,#REF!,RIGHT(Analytica!$D70,3))</f>
        <v>#REF!</v>
      </c>
      <c r="AB70" s="147" t="e">
        <f>1/SUMIFS(#REF!,#REF!,Analytica!$C70,#REF!,RIGHT(Analytica!$D70,3))</f>
        <v>#REF!</v>
      </c>
      <c r="AC70" s="147" t="e">
        <f>1/SUMIFS(#REF!,#REF!,Analytica!$C70,#REF!,RIGHT(Analytica!$D70,3))</f>
        <v>#REF!</v>
      </c>
      <c r="AD70" s="147" t="e">
        <f>1/SUMIFS(#REF!,#REF!,Analytica!$C70,#REF!,RIGHT(Analytica!$D70,3))</f>
        <v>#REF!</v>
      </c>
      <c r="AE70" s="147" t="e">
        <f>1/SUMIFS(#REF!,#REF!,Analytica!$C70,#REF!,RIGHT(Analytica!$D70,3))</f>
        <v>#REF!</v>
      </c>
      <c r="AF70" s="147"/>
      <c r="AG70" s="71"/>
      <c r="AH70" s="148">
        <f>AH67*(1+$AR$57)</f>
        <v>110.64570000000002</v>
      </c>
      <c r="AI70" s="148">
        <f>AI67*(1+$AR$57)</f>
        <v>338.02089163574078</v>
      </c>
      <c r="AJ70" s="148"/>
      <c r="AK70" s="149"/>
      <c r="AL70" s="149"/>
      <c r="AM70" s="149"/>
      <c r="AN70" s="149"/>
      <c r="AO70" s="149"/>
      <c r="AP70" s="149"/>
      <c r="AQ70" s="149"/>
      <c r="AR70" s="152"/>
      <c r="AS70" s="150"/>
      <c r="AT70" s="151"/>
      <c r="AU70" s="152"/>
      <c r="AV70" s="152"/>
      <c r="AW70" s="152"/>
      <c r="AX70" s="152"/>
      <c r="AY70" s="153"/>
      <c r="BA70" s="154">
        <f t="shared" si="39"/>
        <v>0</v>
      </c>
      <c r="BB70" s="63" t="s">
        <v>333</v>
      </c>
      <c r="BC70" s="90">
        <f>AJ70*1000</f>
        <v>0</v>
      </c>
      <c r="BE70" s="63" t="s">
        <v>347</v>
      </c>
    </row>
    <row r="71" spans="1:57" x14ac:dyDescent="0.25">
      <c r="A71" s="63" t="str">
        <f t="shared" si="32"/>
        <v>CARHGN</v>
      </c>
      <c r="B71" s="63" t="str">
        <f>D71&amp;C71&amp;"F-N"</f>
        <v>TPPRCARHGNF-N</v>
      </c>
      <c r="C71" s="63" t="s">
        <v>334</v>
      </c>
      <c r="D71" s="63" t="s">
        <v>238</v>
      </c>
      <c r="E71" s="63" t="s">
        <v>348</v>
      </c>
      <c r="F71" s="144">
        <f>F70</f>
        <v>1.9099999999999999E-2</v>
      </c>
      <c r="G71" s="145">
        <f>G70</f>
        <v>21358.407707781298</v>
      </c>
      <c r="H71" s="145">
        <v>20416.763999999999</v>
      </c>
      <c r="I71" s="145">
        <v>18473.85202240953</v>
      </c>
      <c r="J71" s="145">
        <v>15125.110778558552</v>
      </c>
      <c r="K71" s="145">
        <v>8300.8367924841114</v>
      </c>
      <c r="L71" s="145">
        <v>3053.7072004744027</v>
      </c>
      <c r="M71" s="145">
        <f t="shared" si="34"/>
        <v>0.95591227020925162</v>
      </c>
      <c r="N71" s="145">
        <f t="shared" si="34"/>
        <v>0.86494519044503182</v>
      </c>
      <c r="O71" s="145">
        <f t="shared" si="34"/>
        <v>0.70815722714423923</v>
      </c>
      <c r="P71" s="145">
        <f t="shared" si="34"/>
        <v>0.38864492644083898</v>
      </c>
      <c r="Q71" s="145">
        <f t="shared" si="34"/>
        <v>0.14297447835317217</v>
      </c>
      <c r="R71" s="145">
        <f t="shared" si="34"/>
        <v>4.4755783450139569E-5</v>
      </c>
      <c r="S71" s="71" t="e">
        <f>S67/#REF!*(1+T57)^6</f>
        <v>#REF!</v>
      </c>
      <c r="T71" s="145" t="e">
        <f t="shared" si="40"/>
        <v>#REF!</v>
      </c>
      <c r="U71" s="145" t="e">
        <f t="shared" si="40"/>
        <v>#REF!</v>
      </c>
      <c r="V71" s="145" t="e">
        <f t="shared" si="40"/>
        <v>#REF!</v>
      </c>
      <c r="W71" s="145" t="e">
        <f t="shared" si="40"/>
        <v>#REF!</v>
      </c>
      <c r="X71" s="145" t="e">
        <f t="shared" si="40"/>
        <v>#REF!</v>
      </c>
      <c r="Y71" s="71"/>
      <c r="Z71" s="147">
        <v>0.63859949283016149</v>
      </c>
      <c r="AA71" s="147" t="e">
        <f>1/SUMIFS(#REF!,#REF!,Analytica!$C71,#REF!,RIGHT(Analytica!$D71,3))</f>
        <v>#REF!</v>
      </c>
      <c r="AB71" s="147" t="e">
        <f>1/SUMIFS(#REF!,#REF!,Analytica!$C71,#REF!,RIGHT(Analytica!$D71,3))</f>
        <v>#REF!</v>
      </c>
      <c r="AC71" s="147" t="e">
        <f>1/SUMIFS(#REF!,#REF!,Analytica!$C71,#REF!,RIGHT(Analytica!$D71,3))</f>
        <v>#REF!</v>
      </c>
      <c r="AD71" s="147" t="e">
        <f>1/SUMIFS(#REF!,#REF!,Analytica!$C71,#REF!,RIGHT(Analytica!$D71,3))</f>
        <v>#REF!</v>
      </c>
      <c r="AE71" s="147" t="e">
        <f>1/SUMIFS(#REF!,#REF!,Analytica!$C71,#REF!,RIGHT(Analytica!$D71,3))</f>
        <v>#REF!</v>
      </c>
      <c r="AF71" s="147"/>
      <c r="AG71" s="71"/>
      <c r="AH71" s="148"/>
      <c r="AI71" s="148"/>
      <c r="AJ71" s="148"/>
      <c r="AK71" s="149"/>
      <c r="AL71" s="149"/>
      <c r="AM71" s="149"/>
      <c r="AN71" s="149"/>
      <c r="AO71" s="149"/>
      <c r="AP71" s="149"/>
      <c r="AQ71" s="149"/>
      <c r="AR71" s="152"/>
      <c r="AS71" s="150"/>
      <c r="AT71" s="151"/>
      <c r="AU71" s="152"/>
      <c r="AV71" s="152"/>
      <c r="AW71" s="152"/>
      <c r="AX71" s="152"/>
      <c r="AY71" s="153"/>
      <c r="BA71" s="154">
        <f t="shared" si="39"/>
        <v>0</v>
      </c>
      <c r="BC71" s="90"/>
    </row>
    <row r="72" spans="1:57" x14ac:dyDescent="0.25">
      <c r="A72" s="63" t="str">
        <f t="shared" si="32"/>
        <v>CV1ODS</v>
      </c>
      <c r="B72" s="63" t="str">
        <f t="shared" ref="B72:B113" si="41">D72&amp;C72&amp;"-N"</f>
        <v>TFHCV1ODS-N</v>
      </c>
      <c r="C72" s="63" t="s">
        <v>234</v>
      </c>
      <c r="D72" s="63" t="s">
        <v>253</v>
      </c>
      <c r="E72" s="65" t="s">
        <v>254</v>
      </c>
      <c r="F72" s="144">
        <f t="shared" ref="F72:F81" si="42">INDEX($F$17:$F$49,MATCH($E72,$E$17:$E$49,0))</f>
        <v>5.5E-2</v>
      </c>
      <c r="G72" s="145">
        <f t="shared" ref="G72:G81" si="43">G23</f>
        <v>30805.1279861556</v>
      </c>
      <c r="H72" s="145">
        <f t="shared" ref="H72:L87" si="44">(EXP(-((H$58)*$F72))*G72)</f>
        <v>30805.1279861556</v>
      </c>
      <c r="I72" s="145">
        <f t="shared" si="44"/>
        <v>23398.716470661107</v>
      </c>
      <c r="J72" s="145">
        <f t="shared" si="44"/>
        <v>13499.885030894695</v>
      </c>
      <c r="K72" s="145">
        <f t="shared" si="44"/>
        <v>2592.6516865740127</v>
      </c>
      <c r="L72" s="145">
        <f t="shared" si="44"/>
        <v>165.74267717663977</v>
      </c>
      <c r="M72" s="145">
        <f t="shared" si="34"/>
        <v>1</v>
      </c>
      <c r="N72" s="145">
        <f t="shared" si="34"/>
        <v>0.75957212322496848</v>
      </c>
      <c r="O72" s="145">
        <f t="shared" si="34"/>
        <v>0.43823499246494918</v>
      </c>
      <c r="P72" s="145">
        <f t="shared" si="34"/>
        <v>8.4162990257310374E-2</v>
      </c>
      <c r="Q72" s="145">
        <f t="shared" si="34"/>
        <v>5.3803599599108187E-3</v>
      </c>
      <c r="R72" s="145">
        <f t="shared" si="34"/>
        <v>3.2462127748646868E-5</v>
      </c>
      <c r="S72" s="71">
        <v>14.46</v>
      </c>
      <c r="T72" s="148">
        <v>13.9</v>
      </c>
      <c r="U72" s="145">
        <f>T72/((1+U$53)^(U$58-T$58))</f>
        <v>13.093458068993115</v>
      </c>
      <c r="V72" s="145">
        <f>U72/((1+V$53)^(V$58-U$58))</f>
        <v>12.150770373951501</v>
      </c>
      <c r="W72" s="145">
        <f>V72/((1+W$53)^(W$58-V$58))</f>
        <v>11.275953220496399</v>
      </c>
      <c r="X72" s="145">
        <f>W72/((1+X$53)^(X$58-W$58))</f>
        <v>10.464120143641077</v>
      </c>
      <c r="Y72" s="71"/>
      <c r="Z72" s="147">
        <f t="shared" ref="Z72:Z81" si="45">SUMIF($AC$56:$AC$57,$C72,$AD$56:$AD$57)/S72</f>
        <v>0.17621385757647159</v>
      </c>
      <c r="AA72" s="147" t="e">
        <f>1/SUMIFS(#REF!,#REF!,Analytica!$C72,#REF!,RIGHT(Analytica!$D72,3))</f>
        <v>#REF!</v>
      </c>
      <c r="AB72" s="147" t="e">
        <f>1/SUMIFS(#REF!,#REF!,Analytica!$C72,#REF!,RIGHT(Analytica!$D72,3))</f>
        <v>#REF!</v>
      </c>
      <c r="AC72" s="147" t="e">
        <f>1/SUMIFS(#REF!,#REF!,Analytica!$C72,#REF!,RIGHT(Analytica!$D72,3))</f>
        <v>#REF!</v>
      </c>
      <c r="AD72" s="147" t="e">
        <f>1/SUMIFS(#REF!,#REF!,Analytica!$C72,#REF!,RIGHT(Analytica!$D72,3))</f>
        <v>#REF!</v>
      </c>
      <c r="AE72" s="147" t="e">
        <f>1/SUMIFS(#REF!,#REF!,Analytica!$C72,#REF!,RIGHT(Analytica!$D72,3))</f>
        <v>#REF!</v>
      </c>
      <c r="AF72" s="147"/>
      <c r="AG72" s="71"/>
      <c r="AH72" s="148">
        <v>489.02730000000003</v>
      </c>
      <c r="AI72" s="162">
        <v>295.00710125625767</v>
      </c>
      <c r="AJ72" s="148"/>
      <c r="AK72" s="149"/>
      <c r="AL72" s="149"/>
      <c r="AM72" s="149"/>
      <c r="AN72" s="149"/>
      <c r="AO72" s="149"/>
      <c r="AP72" s="149"/>
      <c r="AQ72" s="149"/>
      <c r="AR72" s="152"/>
      <c r="AS72" s="150"/>
      <c r="AT72" s="151"/>
      <c r="AU72" s="152"/>
      <c r="AV72" s="152"/>
      <c r="AW72" s="152"/>
      <c r="AX72" s="152"/>
      <c r="AY72" s="153"/>
      <c r="BA72" s="154">
        <f t="shared" si="39"/>
        <v>1</v>
      </c>
      <c r="BB72" s="63" t="s">
        <v>237</v>
      </c>
      <c r="BC72" s="90">
        <f>AJ72*1000</f>
        <v>0</v>
      </c>
    </row>
    <row r="73" spans="1:57" s="163" customFormat="1" x14ac:dyDescent="0.25">
      <c r="A73" s="63" t="str">
        <f t="shared" si="32"/>
        <v>CV1OGS</v>
      </c>
      <c r="B73" s="163" t="str">
        <f t="shared" si="41"/>
        <v>TFHCV1OGS-N</v>
      </c>
      <c r="C73" s="163" t="s">
        <v>241</v>
      </c>
      <c r="D73" s="163" t="s">
        <v>253</v>
      </c>
      <c r="E73" s="164" t="s">
        <v>257</v>
      </c>
      <c r="F73" s="144">
        <f t="shared" si="42"/>
        <v>4.8000000000000001E-2</v>
      </c>
      <c r="G73" s="165">
        <f t="shared" si="43"/>
        <v>17100.2801251579</v>
      </c>
      <c r="H73" s="166">
        <f t="shared" si="44"/>
        <v>17100.2801251579</v>
      </c>
      <c r="I73" s="166">
        <f t="shared" si="44"/>
        <v>13451.556778491855</v>
      </c>
      <c r="J73" s="166">
        <f t="shared" si="44"/>
        <v>8323.5999284680747</v>
      </c>
      <c r="K73" s="166">
        <f t="shared" si="44"/>
        <v>1972.0918752186101</v>
      </c>
      <c r="L73" s="166">
        <f t="shared" si="44"/>
        <v>178.90413861851181</v>
      </c>
      <c r="M73" s="166">
        <f t="shared" si="34"/>
        <v>1</v>
      </c>
      <c r="N73" s="166">
        <f t="shared" si="34"/>
        <v>0.78662786106655347</v>
      </c>
      <c r="O73" s="166">
        <f t="shared" si="34"/>
        <v>0.48675225595997168</v>
      </c>
      <c r="P73" s="166">
        <f t="shared" si="34"/>
        <v>0.11532512103806254</v>
      </c>
      <c r="Q73" s="166">
        <f t="shared" si="34"/>
        <v>1.0462058943426802E-2</v>
      </c>
      <c r="R73" s="166">
        <f t="shared" si="34"/>
        <v>5.8478574191822851E-5</v>
      </c>
      <c r="S73" s="161" t="e">
        <f t="shared" ref="S73:X73" si="46">$AD$54*S72</f>
        <v>#REF!</v>
      </c>
      <c r="T73" s="161" t="e">
        <f t="shared" si="46"/>
        <v>#REF!</v>
      </c>
      <c r="U73" s="161" t="e">
        <f t="shared" si="46"/>
        <v>#REF!</v>
      </c>
      <c r="V73" s="161" t="e">
        <f t="shared" si="46"/>
        <v>#REF!</v>
      </c>
      <c r="W73" s="161" t="e">
        <f t="shared" si="46"/>
        <v>#REF!</v>
      </c>
      <c r="X73" s="161" t="e">
        <f t="shared" si="46"/>
        <v>#REF!</v>
      </c>
      <c r="Y73" s="161"/>
      <c r="Z73" s="147" t="e">
        <f t="shared" si="45"/>
        <v>#REF!</v>
      </c>
      <c r="AA73" s="147" t="e">
        <f>1/SUMIFS(#REF!,#REF!,Analytica!$C73,#REF!,RIGHT(Analytica!$D73,3))</f>
        <v>#REF!</v>
      </c>
      <c r="AB73" s="147" t="e">
        <f>1/SUMIFS(#REF!,#REF!,Analytica!$C73,#REF!,RIGHT(Analytica!$D73,3))</f>
        <v>#REF!</v>
      </c>
      <c r="AC73" s="147" t="e">
        <f>1/SUMIFS(#REF!,#REF!,Analytica!$C73,#REF!,RIGHT(Analytica!$D73,3))</f>
        <v>#REF!</v>
      </c>
      <c r="AD73" s="147" t="e">
        <f>1/SUMIFS(#REF!,#REF!,Analytica!$C73,#REF!,RIGHT(Analytica!$D73,3))</f>
        <v>#REF!</v>
      </c>
      <c r="AE73" s="147" t="e">
        <f>1/SUMIFS(#REF!,#REF!,Analytica!$C73,#REF!,RIGHT(Analytica!$D73,3))</f>
        <v>#REF!</v>
      </c>
      <c r="AF73" s="147"/>
      <c r="AG73" s="161"/>
      <c r="AH73" s="167"/>
      <c r="AI73" s="162">
        <v>199.83569076305221</v>
      </c>
      <c r="AJ73" s="168"/>
      <c r="AK73" s="149"/>
      <c r="AL73" s="149"/>
      <c r="AM73" s="149"/>
      <c r="AN73" s="149"/>
      <c r="AO73" s="149"/>
      <c r="AP73" s="149"/>
      <c r="AQ73" s="149"/>
      <c r="AR73" s="152"/>
      <c r="AS73" s="151"/>
      <c r="AT73" s="151"/>
      <c r="AU73" s="152"/>
      <c r="AV73" s="152"/>
      <c r="AW73" s="152"/>
      <c r="AX73" s="152"/>
      <c r="AY73" s="153"/>
      <c r="BA73" s="169">
        <f t="shared" si="39"/>
        <v>0</v>
      </c>
      <c r="BC73" s="170"/>
    </row>
    <row r="74" spans="1:57" x14ac:dyDescent="0.25">
      <c r="A74" s="63" t="str">
        <f t="shared" si="32"/>
        <v>CV2ODS</v>
      </c>
      <c r="B74" s="63" t="str">
        <f t="shared" si="41"/>
        <v>TFHCV2ODS-N</v>
      </c>
      <c r="C74" s="63" t="s">
        <v>234</v>
      </c>
      <c r="D74" s="63" t="s">
        <v>259</v>
      </c>
      <c r="E74" s="65" t="s">
        <v>260</v>
      </c>
      <c r="F74" s="144">
        <f t="shared" si="42"/>
        <v>4.8000000000000001E-2</v>
      </c>
      <c r="G74" s="145">
        <f t="shared" si="43"/>
        <v>30096.280108149898</v>
      </c>
      <c r="H74" s="145">
        <f t="shared" si="44"/>
        <v>30096.280108149898</v>
      </c>
      <c r="I74" s="145">
        <f t="shared" si="44"/>
        <v>23674.572447533814</v>
      </c>
      <c r="J74" s="145">
        <f t="shared" si="44"/>
        <v>14649.432238645182</v>
      </c>
      <c r="K74" s="145">
        <f t="shared" si="44"/>
        <v>3470.8571462678206</v>
      </c>
      <c r="L74" s="145">
        <f t="shared" si="44"/>
        <v>314.86905646934775</v>
      </c>
      <c r="M74" s="145">
        <f t="shared" si="34"/>
        <v>1</v>
      </c>
      <c r="N74" s="145">
        <f t="shared" si="34"/>
        <v>0.78662786106655347</v>
      </c>
      <c r="O74" s="145">
        <f t="shared" si="34"/>
        <v>0.48675225595997162</v>
      </c>
      <c r="P74" s="145">
        <f t="shared" si="34"/>
        <v>0.11532512103806253</v>
      </c>
      <c r="Q74" s="145">
        <f t="shared" si="34"/>
        <v>1.04620589434268E-2</v>
      </c>
      <c r="R74" s="145">
        <f t="shared" si="34"/>
        <v>3.3226697665177755E-5</v>
      </c>
      <c r="S74" s="71">
        <v>22.685167417999999</v>
      </c>
      <c r="T74" s="148">
        <v>21.8</v>
      </c>
      <c r="U74" s="145">
        <f t="shared" ref="U74:X81" si="47">S74/((1+U$53)^(U$58-T$58))</f>
        <v>21.368869667314517</v>
      </c>
      <c r="V74" s="145">
        <f t="shared" si="47"/>
        <v>20.230468739150471</v>
      </c>
      <c r="W74" s="145">
        <f t="shared" si="47"/>
        <v>19.830378430990233</v>
      </c>
      <c r="X74" s="145">
        <f t="shared" si="47"/>
        <v>18.773938780080019</v>
      </c>
      <c r="Y74" s="71"/>
      <c r="Z74" s="147">
        <f t="shared" si="45"/>
        <v>0.1123223969920529</v>
      </c>
      <c r="AA74" s="147" t="e">
        <f>1/SUMIFS(#REF!,#REF!,Analytica!$C74,#REF!,RIGHT(Analytica!$D74,3))</f>
        <v>#REF!</v>
      </c>
      <c r="AB74" s="147" t="e">
        <f>1/SUMIFS(#REF!,#REF!,Analytica!$C74,#REF!,RIGHT(Analytica!$D74,3))</f>
        <v>#REF!</v>
      </c>
      <c r="AC74" s="147" t="e">
        <f>1/SUMIFS(#REF!,#REF!,Analytica!$C74,#REF!,RIGHT(Analytica!$D74,3))</f>
        <v>#REF!</v>
      </c>
      <c r="AD74" s="147" t="e">
        <f>1/SUMIFS(#REF!,#REF!,Analytica!$C74,#REF!,RIGHT(Analytica!$D74,3))</f>
        <v>#REF!</v>
      </c>
      <c r="AE74" s="147" t="e">
        <f>1/SUMIFS(#REF!,#REF!,Analytica!$C74,#REF!,RIGHT(Analytica!$D74,3))</f>
        <v>#REF!</v>
      </c>
      <c r="AF74" s="147"/>
      <c r="AG74" s="71"/>
      <c r="AH74" s="148"/>
      <c r="AI74" s="162">
        <v>381.46697397769515</v>
      </c>
      <c r="AJ74" s="148"/>
      <c r="AK74" s="149"/>
      <c r="AL74" s="149"/>
      <c r="AM74" s="149"/>
      <c r="AN74" s="149"/>
      <c r="AO74" s="149"/>
      <c r="AP74" s="149"/>
      <c r="AQ74" s="149"/>
      <c r="AR74" s="152"/>
      <c r="AS74" s="150"/>
      <c r="AT74" s="151"/>
      <c r="AU74" s="152"/>
      <c r="AV74" s="152"/>
      <c r="AW74" s="152"/>
      <c r="AX74" s="152"/>
      <c r="AY74" s="153"/>
      <c r="BA74" s="154">
        <f t="shared" si="39"/>
        <v>1</v>
      </c>
      <c r="BC74" s="90"/>
    </row>
    <row r="75" spans="1:57" x14ac:dyDescent="0.25">
      <c r="A75" s="63" t="str">
        <f t="shared" si="32"/>
        <v>CV3ODS</v>
      </c>
      <c r="B75" s="63" t="str">
        <f t="shared" si="41"/>
        <v>TFHCV3ODS-N</v>
      </c>
      <c r="C75" s="63" t="s">
        <v>234</v>
      </c>
      <c r="D75" s="63" t="s">
        <v>261</v>
      </c>
      <c r="E75" s="65" t="s">
        <v>262</v>
      </c>
      <c r="F75" s="144">
        <f t="shared" si="42"/>
        <v>8.4999999999999992E-2</v>
      </c>
      <c r="G75" s="145">
        <f t="shared" si="43"/>
        <v>54512.527353451602</v>
      </c>
      <c r="H75" s="145">
        <f t="shared" si="44"/>
        <v>54512.527353451602</v>
      </c>
      <c r="I75" s="145">
        <f t="shared" si="44"/>
        <v>35638.643294750975</v>
      </c>
      <c r="J75" s="145">
        <f t="shared" si="44"/>
        <v>15232.488298570934</v>
      </c>
      <c r="K75" s="145">
        <f t="shared" si="44"/>
        <v>1189.3780636954896</v>
      </c>
      <c r="L75" s="145">
        <f t="shared" si="44"/>
        <v>16.965566906785078</v>
      </c>
      <c r="M75" s="145">
        <f t="shared" si="34"/>
        <v>1</v>
      </c>
      <c r="N75" s="145">
        <f t="shared" si="34"/>
        <v>0.65376978512984729</v>
      </c>
      <c r="O75" s="145">
        <f t="shared" si="34"/>
        <v>0.27943096822140734</v>
      </c>
      <c r="P75" s="145">
        <f t="shared" si="34"/>
        <v>2.1818435531042773E-2</v>
      </c>
      <c r="Q75" s="145">
        <f t="shared" si="34"/>
        <v>3.112232679432145E-4</v>
      </c>
      <c r="R75" s="145">
        <f t="shared" si="34"/>
        <v>1.8344407213339054E-5</v>
      </c>
      <c r="S75" s="71">
        <v>23.101409021999999</v>
      </c>
      <c r="T75" s="148">
        <v>22.2</v>
      </c>
      <c r="U75" s="145">
        <f t="shared" si="47"/>
        <v>21.760959019008361</v>
      </c>
      <c r="V75" s="145">
        <f t="shared" si="47"/>
        <v>20.601670000419286</v>
      </c>
      <c r="W75" s="145">
        <f t="shared" si="47"/>
        <v>20.194238585687302</v>
      </c>
      <c r="X75" s="145">
        <f t="shared" si="47"/>
        <v>19.118414720998921</v>
      </c>
      <c r="Y75" s="71"/>
      <c r="Z75" s="147">
        <f t="shared" si="45"/>
        <v>0.11029857001922312</v>
      </c>
      <c r="AA75" s="147" t="e">
        <f>1/SUMIFS(#REF!,#REF!,Analytica!$C75,#REF!,RIGHT(Analytica!$D75,3))</f>
        <v>#REF!</v>
      </c>
      <c r="AB75" s="147" t="e">
        <f>1/SUMIFS(#REF!,#REF!,Analytica!$C75,#REF!,RIGHT(Analytica!$D75,3))</f>
        <v>#REF!</v>
      </c>
      <c r="AC75" s="147" t="e">
        <f>1/SUMIFS(#REF!,#REF!,Analytica!$C75,#REF!,RIGHT(Analytica!$D75,3))</f>
        <v>#REF!</v>
      </c>
      <c r="AD75" s="147" t="e">
        <f>1/SUMIFS(#REF!,#REF!,Analytica!$C75,#REF!,RIGHT(Analytica!$D75,3))</f>
        <v>#REF!</v>
      </c>
      <c r="AE75" s="147" t="e">
        <f>1/SUMIFS(#REF!,#REF!,Analytica!$C75,#REF!,RIGHT(Analytica!$D75,3))</f>
        <v>#REF!</v>
      </c>
      <c r="AF75" s="147"/>
      <c r="AG75" s="71"/>
      <c r="AH75" s="148"/>
      <c r="AI75" s="162">
        <v>529.30025038783742</v>
      </c>
      <c r="AJ75" s="148"/>
      <c r="AK75" s="149"/>
      <c r="AL75" s="149"/>
      <c r="AM75" s="149"/>
      <c r="AN75" s="149"/>
      <c r="AO75" s="149"/>
      <c r="AP75" s="149"/>
      <c r="AQ75" s="149"/>
      <c r="AR75" s="152"/>
      <c r="AS75" s="150"/>
      <c r="AT75" s="151"/>
      <c r="AU75" s="152"/>
      <c r="AV75" s="152"/>
      <c r="AW75" s="152"/>
      <c r="AX75" s="152"/>
      <c r="AY75" s="153"/>
      <c r="BA75" s="154">
        <f t="shared" si="39"/>
        <v>1</v>
      </c>
      <c r="BC75" s="90"/>
    </row>
    <row r="76" spans="1:57" x14ac:dyDescent="0.25">
      <c r="A76" s="63" t="str">
        <f t="shared" si="32"/>
        <v>CV4ODS</v>
      </c>
      <c r="B76" s="63" t="str">
        <f t="shared" si="41"/>
        <v>TFHCV4ODS-N</v>
      </c>
      <c r="C76" s="63" t="s">
        <v>234</v>
      </c>
      <c r="D76" s="63" t="s">
        <v>263</v>
      </c>
      <c r="E76" s="65" t="s">
        <v>264</v>
      </c>
      <c r="F76" s="144">
        <f t="shared" si="42"/>
        <v>8.4999999999999992E-2</v>
      </c>
      <c r="G76" s="145">
        <f t="shared" si="43"/>
        <v>53608.118344618502</v>
      </c>
      <c r="H76" s="145">
        <f t="shared" si="44"/>
        <v>53608.118344618502</v>
      </c>
      <c r="I76" s="145">
        <f t="shared" si="44"/>
        <v>35047.36801137666</v>
      </c>
      <c r="J76" s="145">
        <f t="shared" si="44"/>
        <v>14979.768413564536</v>
      </c>
      <c r="K76" s="145">
        <f t="shared" si="44"/>
        <v>1169.6452740425702</v>
      </c>
      <c r="L76" s="145">
        <f t="shared" si="44"/>
        <v>16.684093779498756</v>
      </c>
      <c r="M76" s="145">
        <f t="shared" si="34"/>
        <v>1</v>
      </c>
      <c r="N76" s="145">
        <f t="shared" si="34"/>
        <v>0.65376978512984729</v>
      </c>
      <c r="O76" s="145">
        <f t="shared" si="34"/>
        <v>0.27943096822140734</v>
      </c>
      <c r="P76" s="145">
        <f t="shared" si="34"/>
        <v>2.1818435531042773E-2</v>
      </c>
      <c r="Q76" s="145">
        <f t="shared" si="34"/>
        <v>3.112232679432145E-4</v>
      </c>
      <c r="R76" s="145">
        <f t="shared" si="34"/>
        <v>1.8653891068728135E-5</v>
      </c>
      <c r="S76" s="71">
        <v>26.639462655999999</v>
      </c>
      <c r="T76" s="148">
        <v>25.6</v>
      </c>
      <c r="U76" s="145">
        <f t="shared" si="47"/>
        <v>25.093718508406038</v>
      </c>
      <c r="V76" s="145">
        <f t="shared" si="47"/>
        <v>23.756880721204226</v>
      </c>
      <c r="W76" s="145">
        <f t="shared" si="47"/>
        <v>23.287049900612381</v>
      </c>
      <c r="X76" s="145">
        <f t="shared" si="47"/>
        <v>22.046460218809568</v>
      </c>
      <c r="Y76" s="71"/>
      <c r="Z76" s="147">
        <f t="shared" si="45"/>
        <v>9.5649541188545045E-2</v>
      </c>
      <c r="AA76" s="147" t="e">
        <f>1/SUMIFS(#REF!,#REF!,Analytica!$C76,#REF!,RIGHT(Analytica!$D76,3))</f>
        <v>#REF!</v>
      </c>
      <c r="AB76" s="147" t="e">
        <f>1/SUMIFS(#REF!,#REF!,Analytica!$C76,#REF!,RIGHT(Analytica!$D76,3))</f>
        <v>#REF!</v>
      </c>
      <c r="AC76" s="147" t="e">
        <f>1/SUMIFS(#REF!,#REF!,Analytica!$C76,#REF!,RIGHT(Analytica!$D76,3))</f>
        <v>#REF!</v>
      </c>
      <c r="AD76" s="147" t="e">
        <f>1/SUMIFS(#REF!,#REF!,Analytica!$C76,#REF!,RIGHT(Analytica!$D76,3))</f>
        <v>#REF!</v>
      </c>
      <c r="AE76" s="147" t="e">
        <f>1/SUMIFS(#REF!,#REF!,Analytica!$C76,#REF!,RIGHT(Analytica!$D76,3))</f>
        <v>#REF!</v>
      </c>
      <c r="AF76" s="147"/>
      <c r="AG76" s="71"/>
      <c r="AH76" s="148"/>
      <c r="AI76" s="162">
        <v>754.30982933884297</v>
      </c>
      <c r="AJ76" s="148"/>
      <c r="AK76" s="149"/>
      <c r="AL76" s="149"/>
      <c r="AM76" s="149"/>
      <c r="AN76" s="149"/>
      <c r="AO76" s="149"/>
      <c r="AP76" s="149"/>
      <c r="AQ76" s="149"/>
      <c r="AR76" s="152"/>
      <c r="AS76" s="150"/>
      <c r="AT76" s="151"/>
      <c r="AU76" s="152"/>
      <c r="AV76" s="152"/>
      <c r="AW76" s="152"/>
      <c r="AX76" s="152"/>
      <c r="AY76" s="153"/>
      <c r="BA76" s="154">
        <f t="shared" si="39"/>
        <v>1</v>
      </c>
      <c r="BC76" s="90"/>
    </row>
    <row r="77" spans="1:57" x14ac:dyDescent="0.25">
      <c r="A77" s="63" t="str">
        <f t="shared" si="32"/>
        <v>CV5ODS</v>
      </c>
      <c r="B77" s="63" t="str">
        <f t="shared" si="41"/>
        <v>TFHCV5ODS-N</v>
      </c>
      <c r="C77" s="63" t="s">
        <v>234</v>
      </c>
      <c r="D77" s="63" t="s">
        <v>265</v>
      </c>
      <c r="E77" s="65" t="s">
        <v>266</v>
      </c>
      <c r="F77" s="144">
        <f t="shared" si="42"/>
        <v>0.11</v>
      </c>
      <c r="G77" s="145">
        <f t="shared" si="43"/>
        <v>56756.7653972318</v>
      </c>
      <c r="H77" s="145">
        <f t="shared" si="44"/>
        <v>56756.7653972318</v>
      </c>
      <c r="I77" s="145">
        <f t="shared" si="44"/>
        <v>32745.805033742654</v>
      </c>
      <c r="J77" s="145">
        <f t="shared" si="44"/>
        <v>10900.131608147945</v>
      </c>
      <c r="K77" s="145">
        <f t="shared" si="44"/>
        <v>402.03137879886822</v>
      </c>
      <c r="L77" s="145">
        <f t="shared" si="44"/>
        <v>1.6430103562415428</v>
      </c>
      <c r="M77" s="145">
        <f t="shared" si="34"/>
        <v>1</v>
      </c>
      <c r="N77" s="145">
        <f t="shared" si="34"/>
        <v>0.57694981038048665</v>
      </c>
      <c r="O77" s="145">
        <f t="shared" si="34"/>
        <v>0.19204990862075411</v>
      </c>
      <c r="P77" s="145">
        <f t="shared" si="34"/>
        <v>7.0834089290521219E-3</v>
      </c>
      <c r="Q77" s="145">
        <f t="shared" si="34"/>
        <v>2.8948273298211554E-5</v>
      </c>
      <c r="R77" s="145">
        <f t="shared" si="34"/>
        <v>1.761904493677811E-5</v>
      </c>
      <c r="S77" s="71">
        <v>33.507449121999997</v>
      </c>
      <c r="T77" s="148">
        <v>32.200000000000003</v>
      </c>
      <c r="U77" s="145">
        <f t="shared" si="47"/>
        <v>31.563192811354469</v>
      </c>
      <c r="V77" s="145">
        <f t="shared" si="47"/>
        <v>29.88170153213969</v>
      </c>
      <c r="W77" s="145">
        <f t="shared" si="47"/>
        <v>29.29074245311401</v>
      </c>
      <c r="X77" s="145">
        <f t="shared" si="47"/>
        <v>27.730313243971409</v>
      </c>
      <c r="Y77" s="71"/>
      <c r="Z77" s="147">
        <f t="shared" si="45"/>
        <v>7.6044355727538926E-2</v>
      </c>
      <c r="AA77" s="147" t="e">
        <f>1/SUMIFS(#REF!,#REF!,Analytica!$C77,#REF!,RIGHT(Analytica!$D77,3))</f>
        <v>#REF!</v>
      </c>
      <c r="AB77" s="147" t="e">
        <f>1/SUMIFS(#REF!,#REF!,Analytica!$C77,#REF!,RIGHT(Analytica!$D77,3))</f>
        <v>#REF!</v>
      </c>
      <c r="AC77" s="147" t="e">
        <f>1/SUMIFS(#REF!,#REF!,Analytica!$C77,#REF!,RIGHT(Analytica!$D77,3))</f>
        <v>#REF!</v>
      </c>
      <c r="AD77" s="147" t="e">
        <f>1/SUMIFS(#REF!,#REF!,Analytica!$C77,#REF!,RIGHT(Analytica!$D77,3))</f>
        <v>#REF!</v>
      </c>
      <c r="AE77" s="147" t="e">
        <f>1/SUMIFS(#REF!,#REF!,Analytica!$C77,#REF!,RIGHT(Analytica!$D77,3))</f>
        <v>#REF!</v>
      </c>
      <c r="AF77" s="147"/>
      <c r="AG77" s="71"/>
      <c r="AH77" s="148"/>
      <c r="AI77" s="162">
        <v>822.6622572509458</v>
      </c>
      <c r="AJ77" s="148"/>
      <c r="AK77" s="149"/>
      <c r="AL77" s="149"/>
      <c r="AM77" s="149"/>
      <c r="AN77" s="149"/>
      <c r="AO77" s="149"/>
      <c r="AP77" s="149"/>
      <c r="AQ77" s="149"/>
      <c r="AR77" s="152"/>
      <c r="AS77" s="150"/>
      <c r="AT77" s="151"/>
      <c r="AU77" s="152"/>
      <c r="AV77" s="152"/>
      <c r="AW77" s="152"/>
      <c r="AX77" s="152"/>
      <c r="AY77" s="153"/>
      <c r="BA77" s="154">
        <f t="shared" si="39"/>
        <v>1</v>
      </c>
      <c r="BC77" s="90"/>
    </row>
    <row r="78" spans="1:57" x14ac:dyDescent="0.25">
      <c r="A78" s="63" t="str">
        <f t="shared" si="32"/>
        <v>CV6ODS</v>
      </c>
      <c r="B78" s="63" t="str">
        <f t="shared" si="41"/>
        <v>TFHCV6ODS-N</v>
      </c>
      <c r="C78" s="63" t="s">
        <v>234</v>
      </c>
      <c r="D78" s="63" t="s">
        <v>267</v>
      </c>
      <c r="E78" s="65" t="s">
        <v>268</v>
      </c>
      <c r="F78" s="144">
        <f t="shared" si="42"/>
        <v>0.11</v>
      </c>
      <c r="G78" s="145">
        <f t="shared" si="43"/>
        <v>64512.330335483297</v>
      </c>
      <c r="H78" s="145">
        <f t="shared" si="44"/>
        <v>64512.330335483297</v>
      </c>
      <c r="I78" s="145">
        <f t="shared" si="44"/>
        <v>37220.376754260404</v>
      </c>
      <c r="J78" s="145">
        <f t="shared" si="44"/>
        <v>12389.587145841469</v>
      </c>
      <c r="K78" s="145">
        <f t="shared" si="44"/>
        <v>456.96721673232241</v>
      </c>
      <c r="L78" s="145">
        <f t="shared" si="44"/>
        <v>1.8675205696560742</v>
      </c>
      <c r="M78" s="145">
        <f t="shared" si="34"/>
        <v>1</v>
      </c>
      <c r="N78" s="145">
        <f t="shared" si="34"/>
        <v>0.57694981038048665</v>
      </c>
      <c r="O78" s="145">
        <f t="shared" si="34"/>
        <v>0.19204990862075411</v>
      </c>
      <c r="P78" s="145">
        <f t="shared" si="34"/>
        <v>7.0834089290521211E-3</v>
      </c>
      <c r="Q78" s="145">
        <f t="shared" si="34"/>
        <v>2.8948273298211551E-5</v>
      </c>
      <c r="R78" s="145">
        <f t="shared" si="34"/>
        <v>1.5500912690639181E-5</v>
      </c>
      <c r="S78" s="71">
        <v>32.258724309999998</v>
      </c>
      <c r="T78" s="148">
        <v>31</v>
      </c>
      <c r="U78" s="145">
        <f t="shared" si="47"/>
        <v>30.386924756272936</v>
      </c>
      <c r="V78" s="145">
        <f t="shared" si="47"/>
        <v>28.76809774833324</v>
      </c>
      <c r="W78" s="145">
        <f t="shared" si="47"/>
        <v>28.199161989022805</v>
      </c>
      <c r="X78" s="145">
        <f t="shared" si="47"/>
        <v>26.696885421214709</v>
      </c>
      <c r="Y78" s="71"/>
      <c r="Z78" s="147">
        <f t="shared" si="45"/>
        <v>7.8988008207314622E-2</v>
      </c>
      <c r="AA78" s="147" t="e">
        <f>1/SUMIFS(#REF!,#REF!,Analytica!$C78,#REF!,RIGHT(Analytica!$D78,3))</f>
        <v>#REF!</v>
      </c>
      <c r="AB78" s="147" t="e">
        <f>1/SUMIFS(#REF!,#REF!,Analytica!$C78,#REF!,RIGHT(Analytica!$D78,3))</f>
        <v>#REF!</v>
      </c>
      <c r="AC78" s="147" t="e">
        <f>1/SUMIFS(#REF!,#REF!,Analytica!$C78,#REF!,RIGHT(Analytica!$D78,3))</f>
        <v>#REF!</v>
      </c>
      <c r="AD78" s="147" t="e">
        <f>1/SUMIFS(#REF!,#REF!,Analytica!$C78,#REF!,RIGHT(Analytica!$D78,3))</f>
        <v>#REF!</v>
      </c>
      <c r="AE78" s="147" t="e">
        <f>1/SUMIFS(#REF!,#REF!,Analytica!$C78,#REF!,RIGHT(Analytica!$D78,3))</f>
        <v>#REF!</v>
      </c>
      <c r="AF78" s="147"/>
      <c r="AG78" s="71"/>
      <c r="AH78" s="148"/>
      <c r="AI78" s="162">
        <v>1063.2917933651609</v>
      </c>
      <c r="AJ78" s="148"/>
      <c r="AK78" s="149"/>
      <c r="AL78" s="149"/>
      <c r="AM78" s="149"/>
      <c r="AN78" s="149"/>
      <c r="AO78" s="149"/>
      <c r="AP78" s="149"/>
      <c r="AQ78" s="149"/>
      <c r="AR78" s="152"/>
      <c r="AS78" s="150"/>
      <c r="AT78" s="151"/>
      <c r="AU78" s="152"/>
      <c r="AV78" s="152"/>
      <c r="AW78" s="152"/>
      <c r="AX78" s="152"/>
      <c r="AY78" s="153"/>
      <c r="BA78" s="154">
        <f t="shared" si="39"/>
        <v>1</v>
      </c>
      <c r="BC78" s="90"/>
    </row>
    <row r="79" spans="1:57" x14ac:dyDescent="0.25">
      <c r="A79" s="63" t="str">
        <f t="shared" si="32"/>
        <v>CV7ODS</v>
      </c>
      <c r="B79" s="63" t="str">
        <f t="shared" si="41"/>
        <v>TFHCV7ODS-N</v>
      </c>
      <c r="C79" s="63" t="s">
        <v>234</v>
      </c>
      <c r="D79" s="63" t="s">
        <v>270</v>
      </c>
      <c r="E79" s="65" t="s">
        <v>271</v>
      </c>
      <c r="F79" s="144">
        <f t="shared" si="42"/>
        <v>0.16</v>
      </c>
      <c r="G79" s="145">
        <f t="shared" si="43"/>
        <v>92421.691229504097</v>
      </c>
      <c r="H79" s="145">
        <f t="shared" si="44"/>
        <v>92421.691229504097</v>
      </c>
      <c r="I79" s="145">
        <f t="shared" si="44"/>
        <v>41527.742782114779</v>
      </c>
      <c r="J79" s="145">
        <f t="shared" si="44"/>
        <v>8384.3066678866562</v>
      </c>
      <c r="K79" s="145">
        <f t="shared" si="44"/>
        <v>69.000723058119178</v>
      </c>
      <c r="L79" s="145">
        <f t="shared" si="44"/>
        <v>2.3147163884250102E-2</v>
      </c>
      <c r="M79" s="145">
        <f t="shared" si="34"/>
        <v>1</v>
      </c>
      <c r="N79" s="145">
        <f t="shared" si="34"/>
        <v>0.44932896411722156</v>
      </c>
      <c r="O79" s="145">
        <f t="shared" si="34"/>
        <v>9.0717953289412484E-2</v>
      </c>
      <c r="P79" s="145">
        <f t="shared" si="34"/>
        <v>7.4658580837667942E-4</v>
      </c>
      <c r="Q79" s="145">
        <f t="shared" si="34"/>
        <v>2.5045163723276199E-7</v>
      </c>
      <c r="R79" s="145">
        <f t="shared" si="34"/>
        <v>1.0819970795781829E-5</v>
      </c>
      <c r="S79" s="71">
        <v>38.190167166999998</v>
      </c>
      <c r="T79" s="148">
        <v>36.700000000000003</v>
      </c>
      <c r="U79" s="145">
        <f t="shared" si="47"/>
        <v>35.974198017910219</v>
      </c>
      <c r="V79" s="145">
        <f t="shared" si="47"/>
        <v>34.057715721413871</v>
      </c>
      <c r="W79" s="145">
        <f t="shared" si="47"/>
        <v>33.384169193456032</v>
      </c>
      <c r="X79" s="145">
        <f t="shared" si="47"/>
        <v>31.605667579309028</v>
      </c>
      <c r="Y79" s="71"/>
      <c r="Z79" s="147">
        <f t="shared" si="45"/>
        <v>6.6720115924434692E-2</v>
      </c>
      <c r="AA79" s="147" t="e">
        <f>1/SUMIFS(#REF!,#REF!,Analytica!$C79,#REF!,RIGHT(Analytica!$D79,3))</f>
        <v>#REF!</v>
      </c>
      <c r="AB79" s="147" t="e">
        <f>1/SUMIFS(#REF!,#REF!,Analytica!$C79,#REF!,RIGHT(Analytica!$D79,3))</f>
        <v>#REF!</v>
      </c>
      <c r="AC79" s="147" t="e">
        <f>1/SUMIFS(#REF!,#REF!,Analytica!$C79,#REF!,RIGHT(Analytica!$D79,3))</f>
        <v>#REF!</v>
      </c>
      <c r="AD79" s="147" t="e">
        <f>1/SUMIFS(#REF!,#REF!,Analytica!$C79,#REF!,RIGHT(Analytica!$D79,3))</f>
        <v>#REF!</v>
      </c>
      <c r="AE79" s="147" t="e">
        <f>1/SUMIFS(#REF!,#REF!,Analytica!$C79,#REF!,RIGHT(Analytica!$D79,3))</f>
        <v>#REF!</v>
      </c>
      <c r="AF79" s="147"/>
      <c r="AG79" s="71"/>
      <c r="AH79" s="148"/>
      <c r="AI79" s="162">
        <v>1190.3888460069998</v>
      </c>
      <c r="AJ79" s="148"/>
      <c r="AK79" s="149"/>
      <c r="AL79" s="149"/>
      <c r="AM79" s="149"/>
      <c r="AN79" s="149"/>
      <c r="AO79" s="149"/>
      <c r="AP79" s="149"/>
      <c r="AQ79" s="149"/>
      <c r="AR79" s="152"/>
      <c r="AS79" s="150"/>
      <c r="AT79" s="151"/>
      <c r="AU79" s="152"/>
      <c r="AV79" s="152"/>
      <c r="AW79" s="152"/>
      <c r="AX79" s="152"/>
      <c r="AY79" s="153"/>
      <c r="BA79" s="154">
        <f t="shared" si="39"/>
        <v>1</v>
      </c>
      <c r="BC79" s="90"/>
    </row>
    <row r="80" spans="1:57" x14ac:dyDescent="0.25">
      <c r="A80" s="63" t="str">
        <f t="shared" si="32"/>
        <v>CV8ODS</v>
      </c>
      <c r="B80" s="63" t="str">
        <f t="shared" si="41"/>
        <v>TFHCV8ODS-N</v>
      </c>
      <c r="C80" s="63" t="s">
        <v>234</v>
      </c>
      <c r="D80" s="63" t="s">
        <v>272</v>
      </c>
      <c r="E80" s="65" t="s">
        <v>273</v>
      </c>
      <c r="F80" s="144">
        <f t="shared" si="42"/>
        <v>0.16</v>
      </c>
      <c r="G80" s="145">
        <f t="shared" si="43"/>
        <v>116959.183879244</v>
      </c>
      <c r="H80" s="145">
        <f t="shared" si="44"/>
        <v>116959.183879244</v>
      </c>
      <c r="I80" s="145">
        <f t="shared" si="44"/>
        <v>52553.148936456346</v>
      </c>
      <c r="J80" s="145">
        <f t="shared" si="44"/>
        <v>10610.297779925064</v>
      </c>
      <c r="K80" s="145">
        <f t="shared" si="44"/>
        <v>87.320066843562074</v>
      </c>
      <c r="L80" s="145">
        <f t="shared" si="44"/>
        <v>2.9292619091964327E-2</v>
      </c>
      <c r="M80" s="145">
        <f t="shared" si="34"/>
        <v>1</v>
      </c>
      <c r="N80" s="145">
        <f t="shared" si="34"/>
        <v>0.44932896411722156</v>
      </c>
      <c r="O80" s="145">
        <f t="shared" si="34"/>
        <v>9.0717953289412498E-2</v>
      </c>
      <c r="P80" s="145">
        <f t="shared" si="34"/>
        <v>7.4658580837667942E-4</v>
      </c>
      <c r="Q80" s="145">
        <f t="shared" si="34"/>
        <v>2.5045163723276204E-7</v>
      </c>
      <c r="R80" s="145">
        <f t="shared" si="34"/>
        <v>8.5499912604764987E-6</v>
      </c>
      <c r="S80" s="71">
        <v>43.081006014000003</v>
      </c>
      <c r="T80" s="148">
        <v>41.4</v>
      </c>
      <c r="U80" s="145">
        <f t="shared" si="47"/>
        <v>40.581247900312896</v>
      </c>
      <c r="V80" s="145">
        <f t="shared" si="47"/>
        <v>38.419330541322452</v>
      </c>
      <c r="W80" s="145">
        <f t="shared" si="47"/>
        <v>37.659526011146596</v>
      </c>
      <c r="X80" s="145">
        <f t="shared" si="47"/>
        <v>35.653259885106095</v>
      </c>
      <c r="Y80" s="71"/>
      <c r="Z80" s="147">
        <f t="shared" si="45"/>
        <v>5.914561001030804E-2</v>
      </c>
      <c r="AA80" s="147" t="e">
        <f>1/SUMIFS(#REF!,#REF!,Analytica!$C80,#REF!,RIGHT(Analytica!$D80,3))</f>
        <v>#REF!</v>
      </c>
      <c r="AB80" s="147" t="e">
        <f>1/SUMIFS(#REF!,#REF!,Analytica!$C80,#REF!,RIGHT(Analytica!$D80,3))</f>
        <v>#REF!</v>
      </c>
      <c r="AC80" s="147" t="e">
        <f>1/SUMIFS(#REF!,#REF!,Analytica!$C80,#REF!,RIGHT(Analytica!$D80,3))</f>
        <v>#REF!</v>
      </c>
      <c r="AD80" s="147" t="e">
        <f>1/SUMIFS(#REF!,#REF!,Analytica!$C80,#REF!,RIGHT(Analytica!$D80,3))</f>
        <v>#REF!</v>
      </c>
      <c r="AE80" s="147" t="e">
        <f>1/SUMIFS(#REF!,#REF!,Analytica!$C80,#REF!,RIGHT(Analytica!$D80,3))</f>
        <v>#REF!</v>
      </c>
      <c r="AF80" s="147"/>
      <c r="AG80" s="71"/>
      <c r="AH80" s="148"/>
      <c r="AI80" s="162">
        <f>AI79/AI78*AI79</f>
        <v>1332.6780226650678</v>
      </c>
      <c r="AJ80" s="148"/>
      <c r="AK80" s="149"/>
      <c r="AL80" s="149"/>
      <c r="AM80" s="149"/>
      <c r="AN80" s="149"/>
      <c r="AO80" s="149"/>
      <c r="AP80" s="149"/>
      <c r="AQ80" s="149"/>
      <c r="AR80" s="152"/>
      <c r="AS80" s="150"/>
      <c r="AT80" s="151"/>
      <c r="AU80" s="152"/>
      <c r="AV80" s="152"/>
      <c r="AW80" s="152"/>
      <c r="AX80" s="152"/>
      <c r="AY80" s="153"/>
      <c r="BA80" s="154">
        <f t="shared" si="39"/>
        <v>1</v>
      </c>
      <c r="BC80" s="90"/>
    </row>
    <row r="81" spans="1:56" x14ac:dyDescent="0.25">
      <c r="A81" s="63" t="str">
        <f t="shared" si="32"/>
        <v>CV9ODS</v>
      </c>
      <c r="B81" s="63" t="str">
        <f t="shared" si="41"/>
        <v>TFHCV9ODS-N</v>
      </c>
      <c r="C81" s="63" t="s">
        <v>234</v>
      </c>
      <c r="D81" s="63" t="s">
        <v>274</v>
      </c>
      <c r="E81" s="65" t="s">
        <v>275</v>
      </c>
      <c r="F81" s="144">
        <f t="shared" si="42"/>
        <v>0.18</v>
      </c>
      <c r="G81" s="145">
        <f t="shared" si="43"/>
        <v>104002.58508794699</v>
      </c>
      <c r="H81" s="145">
        <f t="shared" si="44"/>
        <v>104002.58508794699</v>
      </c>
      <c r="I81" s="145">
        <f t="shared" si="44"/>
        <v>42284.29563134932</v>
      </c>
      <c r="J81" s="145">
        <f t="shared" si="44"/>
        <v>6989.5470570949319</v>
      </c>
      <c r="K81" s="145">
        <f t="shared" si="44"/>
        <v>31.568855035569442</v>
      </c>
      <c r="L81" s="145">
        <f t="shared" si="44"/>
        <v>3.8959062151804123E-3</v>
      </c>
      <c r="M81" s="145">
        <f t="shared" si="34"/>
        <v>1</v>
      </c>
      <c r="N81" s="145">
        <f t="shared" si="34"/>
        <v>0.40656965974059917</v>
      </c>
      <c r="O81" s="145">
        <f t="shared" si="34"/>
        <v>6.720551273974977E-2</v>
      </c>
      <c r="P81" s="145">
        <f t="shared" si="34"/>
        <v>3.0353913807886683E-4</v>
      </c>
      <c r="Q81" s="145">
        <f t="shared" si="34"/>
        <v>3.7459705562952537E-8</v>
      </c>
      <c r="R81" s="145">
        <f t="shared" si="34"/>
        <v>9.6151456154130857E-6</v>
      </c>
      <c r="S81" s="71">
        <v>52.0302004999999</v>
      </c>
      <c r="T81" s="148">
        <v>49.999999999999901</v>
      </c>
      <c r="U81" s="145">
        <f t="shared" si="47"/>
        <v>49.011168961730448</v>
      </c>
      <c r="V81" s="145">
        <f t="shared" si="47"/>
        <v>46.400157658601906</v>
      </c>
      <c r="W81" s="145">
        <f t="shared" si="47"/>
        <v>45.482519337133468</v>
      </c>
      <c r="X81" s="145">
        <f t="shared" si="47"/>
        <v>43.05949261486235</v>
      </c>
      <c r="Y81" s="71"/>
      <c r="Z81" s="147">
        <f t="shared" si="45"/>
        <v>4.8972565088535154E-2</v>
      </c>
      <c r="AA81" s="147" t="e">
        <f>1/SUMIFS(#REF!,#REF!,Analytica!$C81,#REF!,RIGHT(Analytica!$D81,3))</f>
        <v>#REF!</v>
      </c>
      <c r="AB81" s="147" t="e">
        <f>1/SUMIFS(#REF!,#REF!,Analytica!$C81,#REF!,RIGHT(Analytica!$D81,3))</f>
        <v>#REF!</v>
      </c>
      <c r="AC81" s="147" t="e">
        <f>1/SUMIFS(#REF!,#REF!,Analytica!$C81,#REF!,RIGHT(Analytica!$D81,3))</f>
        <v>#REF!</v>
      </c>
      <c r="AD81" s="147" t="e">
        <f>1/SUMIFS(#REF!,#REF!,Analytica!$C81,#REF!,RIGHT(Analytica!$D81,3))</f>
        <v>#REF!</v>
      </c>
      <c r="AE81" s="147" t="e">
        <f>1/SUMIFS(#REF!,#REF!,Analytica!$C81,#REF!,RIGHT(Analytica!$D81,3))</f>
        <v>#REF!</v>
      </c>
      <c r="AF81" s="147"/>
      <c r="AG81" s="71"/>
      <c r="AH81" s="148"/>
      <c r="AI81" s="162">
        <f>AI80/AI79 *AI80</f>
        <v>1491.9752634207996</v>
      </c>
      <c r="AJ81" s="148"/>
      <c r="AK81" s="149"/>
      <c r="AL81" s="149"/>
      <c r="AM81" s="149"/>
      <c r="AN81" s="149"/>
      <c r="AO81" s="149"/>
      <c r="AP81" s="149"/>
      <c r="AQ81" s="149"/>
      <c r="AR81" s="152"/>
      <c r="AS81" s="150"/>
      <c r="AT81" s="151"/>
      <c r="AU81" s="152"/>
      <c r="AV81" s="152"/>
      <c r="AW81" s="152"/>
      <c r="AX81" s="152"/>
      <c r="AY81" s="153"/>
      <c r="BA81" s="154">
        <f t="shared" si="39"/>
        <v>1</v>
      </c>
      <c r="BC81" s="90"/>
    </row>
    <row r="82" spans="1:56" x14ac:dyDescent="0.25">
      <c r="A82" s="63" t="str">
        <f t="shared" si="32"/>
        <v>CV1GAS</v>
      </c>
      <c r="B82" s="63" t="str">
        <f t="shared" si="41"/>
        <v>TFHCV1GAS-N</v>
      </c>
      <c r="C82" s="63" t="s">
        <v>294</v>
      </c>
      <c r="D82" s="63" t="s">
        <v>253</v>
      </c>
      <c r="E82" s="63" t="s">
        <v>349</v>
      </c>
      <c r="F82" s="144">
        <f>F73</f>
        <v>4.8000000000000001E-2</v>
      </c>
      <c r="G82" s="145">
        <f>G73</f>
        <v>17100.2801251579</v>
      </c>
      <c r="H82" s="145">
        <f t="shared" si="44"/>
        <v>17100.2801251579</v>
      </c>
      <c r="I82" s="145">
        <f t="shared" si="44"/>
        <v>13451.556778491855</v>
      </c>
      <c r="J82" s="145">
        <f t="shared" si="44"/>
        <v>8323.5999284680747</v>
      </c>
      <c r="K82" s="145">
        <f t="shared" si="44"/>
        <v>1972.0918752186101</v>
      </c>
      <c r="L82" s="145">
        <f t="shared" si="44"/>
        <v>178.90413861851181</v>
      </c>
      <c r="M82" s="145">
        <f t="shared" si="34"/>
        <v>1</v>
      </c>
      <c r="N82" s="145">
        <f t="shared" si="34"/>
        <v>0.78662786106655347</v>
      </c>
      <c r="O82" s="145">
        <f t="shared" si="34"/>
        <v>0.48675225595997168</v>
      </c>
      <c r="P82" s="145">
        <f t="shared" si="34"/>
        <v>0.11532512103806254</v>
      </c>
      <c r="Q82" s="145">
        <f t="shared" si="34"/>
        <v>1.0462058943426802E-2</v>
      </c>
      <c r="R82" s="145">
        <f t="shared" si="34"/>
        <v>5.8478574191822851E-5</v>
      </c>
      <c r="S82" s="171" t="e">
        <f t="shared" ref="S82:S90" si="48">S73*(1+$AJ$55)</f>
        <v>#REF!</v>
      </c>
      <c r="T82" s="145" t="e">
        <f t="shared" ref="T82:X90" si="49">S82/((1+T$53)^(T$58-S$58))</f>
        <v>#REF!</v>
      </c>
      <c r="U82" s="145" t="e">
        <f t="shared" si="49"/>
        <v>#REF!</v>
      </c>
      <c r="V82" s="145" t="e">
        <f t="shared" si="49"/>
        <v>#REF!</v>
      </c>
      <c r="W82" s="145" t="e">
        <f t="shared" si="49"/>
        <v>#REF!</v>
      </c>
      <c r="X82" s="145" t="e">
        <f t="shared" si="49"/>
        <v>#REF!</v>
      </c>
      <c r="Y82" s="71"/>
      <c r="Z82" s="147" t="e">
        <f>Z72/S72*S82</f>
        <v>#REF!</v>
      </c>
      <c r="AA82" s="147" t="e">
        <f>1/SUMIFS(#REF!,#REF!,Analytica!$C82,#REF!,RIGHT(Analytica!$D82,3))</f>
        <v>#REF!</v>
      </c>
      <c r="AB82" s="147" t="e">
        <f>1/SUMIFS(#REF!,#REF!,Analytica!$C82,#REF!,RIGHT(Analytica!$D82,3))</f>
        <v>#REF!</v>
      </c>
      <c r="AC82" s="147" t="e">
        <f>1/SUMIFS(#REF!,#REF!,Analytica!$C82,#REF!,RIGHT(Analytica!$D82,3))</f>
        <v>#REF!</v>
      </c>
      <c r="AD82" s="147" t="e">
        <f>1/SUMIFS(#REF!,#REF!,Analytica!$C82,#REF!,RIGHT(Analytica!$D82,3))</f>
        <v>#REF!</v>
      </c>
      <c r="AE82" s="147" t="e">
        <f>1/SUMIFS(#REF!,#REF!,Analytica!$C82,#REF!,RIGHT(Analytica!$D82,3))</f>
        <v>#REF!</v>
      </c>
      <c r="AF82" s="147"/>
      <c r="AG82" s="158"/>
      <c r="AH82" s="148">
        <f>AH72*(1+$AR$57)</f>
        <v>537.9300300000001</v>
      </c>
      <c r="AI82" s="162">
        <f>AI72*(1+$AR$57)</f>
        <v>324.50781138188347</v>
      </c>
      <c r="AJ82" s="162"/>
      <c r="AK82" s="149"/>
      <c r="AL82" s="149"/>
      <c r="AM82" s="149"/>
      <c r="AN82" s="149"/>
      <c r="AO82" s="149"/>
      <c r="AP82" s="149"/>
      <c r="AQ82" s="149"/>
      <c r="AR82" s="152"/>
      <c r="AS82" s="150"/>
      <c r="AT82" s="151"/>
      <c r="AU82" s="152"/>
      <c r="AV82" s="152"/>
      <c r="AW82" s="152"/>
      <c r="AX82" s="152"/>
      <c r="AY82" s="153"/>
      <c r="BA82" s="154">
        <f t="shared" si="39"/>
        <v>0</v>
      </c>
      <c r="BB82" s="63" t="s">
        <v>333</v>
      </c>
      <c r="BC82" s="90">
        <f>AJ82*1000</f>
        <v>0</v>
      </c>
      <c r="BD82" s="90">
        <f>(BC82-BC72)/5.5</f>
        <v>0</v>
      </c>
    </row>
    <row r="83" spans="1:56" x14ac:dyDescent="0.25">
      <c r="A83" s="63" t="str">
        <f t="shared" si="32"/>
        <v>CV2GAS</v>
      </c>
      <c r="B83" s="63" t="str">
        <f t="shared" si="41"/>
        <v>TFHCV2GAS-N</v>
      </c>
      <c r="C83" s="63" t="s">
        <v>294</v>
      </c>
      <c r="D83" s="63" t="s">
        <v>259</v>
      </c>
      <c r="E83" s="63" t="s">
        <v>350</v>
      </c>
      <c r="F83" s="144">
        <f t="shared" ref="F83:F90" si="50">F74</f>
        <v>4.8000000000000001E-2</v>
      </c>
      <c r="G83" s="145">
        <f t="shared" ref="G83:G90" si="51">G73</f>
        <v>17100.2801251579</v>
      </c>
      <c r="H83" s="145">
        <f t="shared" si="44"/>
        <v>17100.2801251579</v>
      </c>
      <c r="I83" s="145">
        <f t="shared" si="44"/>
        <v>13451.556778491855</v>
      </c>
      <c r="J83" s="145">
        <f t="shared" si="44"/>
        <v>8323.5999284680747</v>
      </c>
      <c r="K83" s="145">
        <f t="shared" si="44"/>
        <v>1972.0918752186101</v>
      </c>
      <c r="L83" s="145">
        <f t="shared" si="44"/>
        <v>178.90413861851181</v>
      </c>
      <c r="M83" s="145">
        <f t="shared" si="34"/>
        <v>1</v>
      </c>
      <c r="N83" s="145">
        <f t="shared" si="34"/>
        <v>0.78662786106655347</v>
      </c>
      <c r="O83" s="145">
        <f t="shared" si="34"/>
        <v>0.48675225595997168</v>
      </c>
      <c r="P83" s="145">
        <f t="shared" si="34"/>
        <v>0.11532512103806254</v>
      </c>
      <c r="Q83" s="145">
        <f t="shared" si="34"/>
        <v>1.0462058943426802E-2</v>
      </c>
      <c r="R83" s="145">
        <f t="shared" si="34"/>
        <v>5.8478574191822851E-5</v>
      </c>
      <c r="S83" s="171">
        <f t="shared" si="48"/>
        <v>26.087942530699998</v>
      </c>
      <c r="T83" s="145">
        <f t="shared" si="49"/>
        <v>24.944195417929475</v>
      </c>
      <c r="U83" s="145">
        <f t="shared" si="49"/>
        <v>23.496818472620845</v>
      </c>
      <c r="V83" s="145">
        <f t="shared" si="49"/>
        <v>21.80512163210318</v>
      </c>
      <c r="W83" s="145">
        <f t="shared" si="49"/>
        <v>20.235221629891608</v>
      </c>
      <c r="X83" s="145">
        <f t="shared" si="49"/>
        <v>18.778349477674478</v>
      </c>
      <c r="Y83" s="71"/>
      <c r="Z83" s="147" t="e">
        <f t="shared" ref="Z83:Z90" si="52">Z74/S73*S83</f>
        <v>#REF!</v>
      </c>
      <c r="AA83" s="147" t="e">
        <f>1/SUMIFS(#REF!,#REF!,Analytica!$C83,#REF!,RIGHT(Analytica!$D83,3))</f>
        <v>#REF!</v>
      </c>
      <c r="AB83" s="147" t="e">
        <f>1/SUMIFS(#REF!,#REF!,Analytica!$C83,#REF!,RIGHT(Analytica!$D83,3))</f>
        <v>#REF!</v>
      </c>
      <c r="AC83" s="147" t="e">
        <f>1/SUMIFS(#REF!,#REF!,Analytica!$C83,#REF!,RIGHT(Analytica!$D83,3))</f>
        <v>#REF!</v>
      </c>
      <c r="AD83" s="147" t="e">
        <f>1/SUMIFS(#REF!,#REF!,Analytica!$C83,#REF!,RIGHT(Analytica!$D83,3))</f>
        <v>#REF!</v>
      </c>
      <c r="AE83" s="147" t="e">
        <f>1/SUMIFS(#REF!,#REF!,Analytica!$C83,#REF!,RIGHT(Analytica!$D83,3))</f>
        <v>#REF!</v>
      </c>
      <c r="AF83" s="147"/>
      <c r="AG83" s="158"/>
      <c r="AH83" s="148"/>
      <c r="AI83" s="162">
        <f t="shared" ref="AI83:AI90" si="53">AI74*(1+$AR$57)</f>
        <v>419.61367137546472</v>
      </c>
      <c r="AJ83" s="162"/>
      <c r="AK83" s="149"/>
      <c r="AL83" s="149"/>
      <c r="AM83" s="149"/>
      <c r="AN83" s="149"/>
      <c r="AO83" s="149"/>
      <c r="AP83" s="149"/>
      <c r="AQ83" s="149"/>
      <c r="AR83" s="152"/>
      <c r="AS83" s="150"/>
      <c r="AT83" s="151"/>
      <c r="AU83" s="152"/>
      <c r="AV83" s="152"/>
      <c r="AW83" s="152"/>
      <c r="AX83" s="152"/>
      <c r="AY83" s="153"/>
      <c r="BA83" s="154">
        <f t="shared" si="39"/>
        <v>0</v>
      </c>
      <c r="BC83" s="90"/>
      <c r="BD83" s="90"/>
    </row>
    <row r="84" spans="1:56" x14ac:dyDescent="0.25">
      <c r="A84" s="63" t="str">
        <f t="shared" si="32"/>
        <v>CV3GAS</v>
      </c>
      <c r="B84" s="63" t="str">
        <f t="shared" si="41"/>
        <v>TFHCV3GAS-N</v>
      </c>
      <c r="C84" s="63" t="s">
        <v>294</v>
      </c>
      <c r="D84" s="63" t="s">
        <v>261</v>
      </c>
      <c r="E84" s="63" t="s">
        <v>351</v>
      </c>
      <c r="F84" s="144">
        <f t="shared" si="50"/>
        <v>8.4999999999999992E-2</v>
      </c>
      <c r="G84" s="145">
        <f t="shared" si="51"/>
        <v>30096.280108149898</v>
      </c>
      <c r="H84" s="145">
        <f t="shared" si="44"/>
        <v>30096.280108149898</v>
      </c>
      <c r="I84" s="145">
        <f t="shared" si="44"/>
        <v>19676.038579512857</v>
      </c>
      <c r="J84" s="145">
        <f t="shared" si="44"/>
        <v>8409.8326904830083</v>
      </c>
      <c r="K84" s="145">
        <f t="shared" si="44"/>
        <v>656.65374726387358</v>
      </c>
      <c r="L84" s="145">
        <f t="shared" si="44"/>
        <v>9.3666626481927722</v>
      </c>
      <c r="M84" s="145">
        <f t="shared" si="34"/>
        <v>1</v>
      </c>
      <c r="N84" s="145">
        <f t="shared" si="34"/>
        <v>0.65376978512984729</v>
      </c>
      <c r="O84" s="145">
        <f t="shared" si="34"/>
        <v>0.27943096822140734</v>
      </c>
      <c r="P84" s="145">
        <f t="shared" si="34"/>
        <v>2.1818435531042773E-2</v>
      </c>
      <c r="Q84" s="145">
        <f t="shared" si="34"/>
        <v>3.112232679432145E-4</v>
      </c>
      <c r="R84" s="145">
        <f t="shared" si="34"/>
        <v>3.3226697665177755E-5</v>
      </c>
      <c r="S84" s="171">
        <f t="shared" si="48"/>
        <v>26.566620375299998</v>
      </c>
      <c r="T84" s="145">
        <f t="shared" si="49"/>
        <v>25.401887076974052</v>
      </c>
      <c r="U84" s="145">
        <f t="shared" si="49"/>
        <v>23.927952756522146</v>
      </c>
      <c r="V84" s="145">
        <f t="shared" si="49"/>
        <v>22.205215607004156</v>
      </c>
      <c r="W84" s="145">
        <f t="shared" si="49"/>
        <v>20.606510100164851</v>
      </c>
      <c r="X84" s="145">
        <f t="shared" si="49"/>
        <v>19.122906348824472</v>
      </c>
      <c r="Y84" s="71"/>
      <c r="Z84" s="147">
        <f t="shared" si="52"/>
        <v>0.12917075654086085</v>
      </c>
      <c r="AA84" s="147" t="e">
        <f>1/SUMIFS(#REF!,#REF!,Analytica!$C84,#REF!,RIGHT(Analytica!$D84,3))</f>
        <v>#REF!</v>
      </c>
      <c r="AB84" s="147" t="e">
        <f>1/SUMIFS(#REF!,#REF!,Analytica!$C84,#REF!,RIGHT(Analytica!$D84,3))</f>
        <v>#REF!</v>
      </c>
      <c r="AC84" s="147" t="e">
        <f>1/SUMIFS(#REF!,#REF!,Analytica!$C84,#REF!,RIGHT(Analytica!$D84,3))</f>
        <v>#REF!</v>
      </c>
      <c r="AD84" s="147" t="e">
        <f>1/SUMIFS(#REF!,#REF!,Analytica!$C84,#REF!,RIGHT(Analytica!$D84,3))</f>
        <v>#REF!</v>
      </c>
      <c r="AE84" s="147" t="e">
        <f>1/SUMIFS(#REF!,#REF!,Analytica!$C84,#REF!,RIGHT(Analytica!$D84,3))</f>
        <v>#REF!</v>
      </c>
      <c r="AF84" s="147"/>
      <c r="AG84" s="158"/>
      <c r="AH84" s="148"/>
      <c r="AI84" s="162">
        <f t="shared" si="53"/>
        <v>582.23027542662123</v>
      </c>
      <c r="AJ84" s="162"/>
      <c r="AK84" s="149"/>
      <c r="AL84" s="149"/>
      <c r="AM84" s="149"/>
      <c r="AN84" s="149"/>
      <c r="AO84" s="149"/>
      <c r="AP84" s="149"/>
      <c r="AQ84" s="149"/>
      <c r="AR84" s="152"/>
      <c r="AS84" s="150"/>
      <c r="AT84" s="151"/>
      <c r="AU84" s="152"/>
      <c r="AV84" s="152"/>
      <c r="AW84" s="152"/>
      <c r="AX84" s="152"/>
      <c r="AY84" s="153"/>
      <c r="BA84" s="154">
        <f t="shared" si="39"/>
        <v>0</v>
      </c>
      <c r="BC84" s="90"/>
      <c r="BD84" s="90"/>
    </row>
    <row r="85" spans="1:56" x14ac:dyDescent="0.25">
      <c r="A85" s="63" t="str">
        <f t="shared" si="32"/>
        <v>CV4GAS</v>
      </c>
      <c r="B85" s="63" t="str">
        <f t="shared" si="41"/>
        <v>TFHCV4GAS-N</v>
      </c>
      <c r="C85" s="63" t="s">
        <v>294</v>
      </c>
      <c r="D85" s="63" t="s">
        <v>263</v>
      </c>
      <c r="E85" s="63" t="s">
        <v>352</v>
      </c>
      <c r="F85" s="144">
        <f t="shared" si="50"/>
        <v>8.4999999999999992E-2</v>
      </c>
      <c r="G85" s="145">
        <f t="shared" si="51"/>
        <v>54512.527353451602</v>
      </c>
      <c r="H85" s="145">
        <f t="shared" si="44"/>
        <v>54512.527353451602</v>
      </c>
      <c r="I85" s="145">
        <f t="shared" si="44"/>
        <v>35638.643294750975</v>
      </c>
      <c r="J85" s="145">
        <f t="shared" si="44"/>
        <v>15232.488298570934</v>
      </c>
      <c r="K85" s="145">
        <f t="shared" si="44"/>
        <v>1189.3780636954896</v>
      </c>
      <c r="L85" s="145">
        <f t="shared" si="44"/>
        <v>16.965566906785078</v>
      </c>
      <c r="M85" s="145">
        <f t="shared" si="34"/>
        <v>1</v>
      </c>
      <c r="N85" s="145">
        <f t="shared" si="34"/>
        <v>0.65376978512984729</v>
      </c>
      <c r="O85" s="145">
        <f t="shared" si="34"/>
        <v>0.27943096822140734</v>
      </c>
      <c r="P85" s="145">
        <f t="shared" si="34"/>
        <v>2.1818435531042773E-2</v>
      </c>
      <c r="Q85" s="145">
        <f t="shared" si="34"/>
        <v>3.112232679432145E-4</v>
      </c>
      <c r="R85" s="145">
        <f t="shared" si="34"/>
        <v>1.8344407213339054E-5</v>
      </c>
      <c r="S85" s="172">
        <f t="shared" si="48"/>
        <v>30.635382054399997</v>
      </c>
      <c r="T85" s="145">
        <f t="shared" si="49"/>
        <v>29.292266178852962</v>
      </c>
      <c r="U85" s="145">
        <f t="shared" si="49"/>
        <v>27.592594169683196</v>
      </c>
      <c r="V85" s="145">
        <f t="shared" si="49"/>
        <v>25.606014393662452</v>
      </c>
      <c r="W85" s="145">
        <f t="shared" si="49"/>
        <v>23.762462097487397</v>
      </c>
      <c r="X85" s="173">
        <f t="shared" si="49"/>
        <v>22.051639753599392</v>
      </c>
      <c r="Y85" s="71"/>
      <c r="Z85" s="147">
        <f t="shared" si="52"/>
        <v>0.12684335552210657</v>
      </c>
      <c r="AA85" s="147" t="e">
        <f>1/SUMIFS(#REF!,#REF!,Analytica!$C85,#REF!,RIGHT(Analytica!$D85,3))</f>
        <v>#REF!</v>
      </c>
      <c r="AB85" s="147" t="e">
        <f>1/SUMIFS(#REF!,#REF!,Analytica!$C85,#REF!,RIGHT(Analytica!$D85,3))</f>
        <v>#REF!</v>
      </c>
      <c r="AC85" s="147" t="e">
        <f>1/SUMIFS(#REF!,#REF!,Analytica!$C85,#REF!,RIGHT(Analytica!$D85,3))</f>
        <v>#REF!</v>
      </c>
      <c r="AD85" s="147" t="e">
        <f>1/SUMIFS(#REF!,#REF!,Analytica!$C85,#REF!,RIGHT(Analytica!$D85,3))</f>
        <v>#REF!</v>
      </c>
      <c r="AE85" s="147" t="e">
        <f>1/SUMIFS(#REF!,#REF!,Analytica!$C85,#REF!,RIGHT(Analytica!$D85,3))</f>
        <v>#REF!</v>
      </c>
      <c r="AF85" s="147"/>
      <c r="AG85" s="158"/>
      <c r="AH85" s="148"/>
      <c r="AI85" s="162">
        <f t="shared" si="53"/>
        <v>829.74081227272734</v>
      </c>
      <c r="AJ85" s="162"/>
      <c r="AK85" s="149"/>
      <c r="AL85" s="149"/>
      <c r="AM85" s="149"/>
      <c r="AN85" s="149"/>
      <c r="AO85" s="149"/>
      <c r="AP85" s="149"/>
      <c r="AQ85" s="149"/>
      <c r="AR85" s="152"/>
      <c r="AS85" s="150"/>
      <c r="AT85" s="151"/>
      <c r="AU85" s="152"/>
      <c r="AV85" s="152"/>
      <c r="AW85" s="152"/>
      <c r="AX85" s="152"/>
      <c r="AY85" s="153"/>
      <c r="BA85" s="154">
        <f t="shared" si="39"/>
        <v>0</v>
      </c>
      <c r="BC85" s="90"/>
      <c r="BD85" s="90"/>
    </row>
    <row r="86" spans="1:56" x14ac:dyDescent="0.25">
      <c r="A86" s="63" t="str">
        <f t="shared" si="32"/>
        <v>CV5GAS</v>
      </c>
      <c r="B86" s="63" t="str">
        <f t="shared" si="41"/>
        <v>TFHCV5GAS-N</v>
      </c>
      <c r="C86" s="63" t="s">
        <v>294</v>
      </c>
      <c r="D86" s="63" t="s">
        <v>265</v>
      </c>
      <c r="E86" s="63" t="s">
        <v>353</v>
      </c>
      <c r="F86" s="144">
        <f t="shared" si="50"/>
        <v>0.11</v>
      </c>
      <c r="G86" s="145">
        <f t="shared" si="51"/>
        <v>53608.118344618502</v>
      </c>
      <c r="H86" s="145">
        <f t="shared" si="44"/>
        <v>53608.118344618502</v>
      </c>
      <c r="I86" s="145">
        <f t="shared" si="44"/>
        <v>30929.193713782333</v>
      </c>
      <c r="J86" s="145">
        <f t="shared" si="44"/>
        <v>10295.434229414555</v>
      </c>
      <c r="K86" s="145">
        <f t="shared" si="44"/>
        <v>379.72822415195355</v>
      </c>
      <c r="L86" s="145">
        <f t="shared" si="44"/>
        <v>1.5518624608428848</v>
      </c>
      <c r="M86" s="145">
        <f t="shared" si="34"/>
        <v>1</v>
      </c>
      <c r="N86" s="145">
        <f t="shared" si="34"/>
        <v>0.57694981038048665</v>
      </c>
      <c r="O86" s="145">
        <f t="shared" si="34"/>
        <v>0.19204990862075411</v>
      </c>
      <c r="P86" s="145">
        <f t="shared" si="34"/>
        <v>7.0834089290521219E-3</v>
      </c>
      <c r="Q86" s="145">
        <f t="shared" si="34"/>
        <v>2.8948273298211554E-5</v>
      </c>
      <c r="R86" s="145">
        <f t="shared" si="34"/>
        <v>1.8653891068728135E-5</v>
      </c>
      <c r="S86" s="172">
        <f t="shared" si="48"/>
        <v>38.533566490299997</v>
      </c>
      <c r="T86" s="145">
        <f t="shared" si="49"/>
        <v>36.84417855308849</v>
      </c>
      <c r="U86" s="145">
        <f t="shared" si="49"/>
        <v>34.706309854054645</v>
      </c>
      <c r="V86" s="145">
        <f t="shared" si="49"/>
        <v>32.207564979528556</v>
      </c>
      <c r="W86" s="145">
        <f t="shared" si="49"/>
        <v>29.888721856995868</v>
      </c>
      <c r="X86" s="173">
        <f t="shared" si="49"/>
        <v>27.736828127574235</v>
      </c>
      <c r="Y86" s="71"/>
      <c r="Z86" s="147">
        <f t="shared" si="52"/>
        <v>0.1099969723668268</v>
      </c>
      <c r="AA86" s="147" t="e">
        <f>1/SUMIFS(#REF!,#REF!,Analytica!$C86,#REF!,RIGHT(Analytica!$D86,3))</f>
        <v>#REF!</v>
      </c>
      <c r="AB86" s="147" t="e">
        <f>1/SUMIFS(#REF!,#REF!,Analytica!$C86,#REF!,RIGHT(Analytica!$D86,3))</f>
        <v>#REF!</v>
      </c>
      <c r="AC86" s="147" t="e">
        <f>1/SUMIFS(#REF!,#REF!,Analytica!$C86,#REF!,RIGHT(Analytica!$D86,3))</f>
        <v>#REF!</v>
      </c>
      <c r="AD86" s="147" t="e">
        <f>1/SUMIFS(#REF!,#REF!,Analytica!$C86,#REF!,RIGHT(Analytica!$D86,3))</f>
        <v>#REF!</v>
      </c>
      <c r="AE86" s="147" t="e">
        <f>1/SUMIFS(#REF!,#REF!,Analytica!$C86,#REF!,RIGHT(Analytica!$D86,3))</f>
        <v>#REF!</v>
      </c>
      <c r="AF86" s="147"/>
      <c r="AG86" s="158"/>
      <c r="AH86" s="148"/>
      <c r="AI86" s="162">
        <f t="shared" si="53"/>
        <v>904.92848297604041</v>
      </c>
      <c r="AJ86" s="162"/>
      <c r="AK86" s="149"/>
      <c r="AL86" s="149"/>
      <c r="AM86" s="149"/>
      <c r="AN86" s="149"/>
      <c r="AO86" s="149"/>
      <c r="AP86" s="149"/>
      <c r="AQ86" s="149"/>
      <c r="AR86" s="152"/>
      <c r="AS86" s="150"/>
      <c r="AT86" s="151"/>
      <c r="AU86" s="152"/>
      <c r="AV86" s="152"/>
      <c r="AW86" s="152"/>
      <c r="AX86" s="152"/>
      <c r="AY86" s="153"/>
      <c r="BA86" s="154">
        <f t="shared" si="39"/>
        <v>0</v>
      </c>
      <c r="BC86" s="90"/>
      <c r="BD86" s="90"/>
    </row>
    <row r="87" spans="1:56" x14ac:dyDescent="0.25">
      <c r="A87" s="63" t="str">
        <f t="shared" si="32"/>
        <v>CV6GAS</v>
      </c>
      <c r="B87" s="63" t="str">
        <f t="shared" si="41"/>
        <v>TFHCV6GAS-N</v>
      </c>
      <c r="C87" s="63" t="s">
        <v>294</v>
      </c>
      <c r="D87" s="63" t="s">
        <v>267</v>
      </c>
      <c r="E87" s="63" t="s">
        <v>354</v>
      </c>
      <c r="F87" s="144">
        <f t="shared" si="50"/>
        <v>0.11</v>
      </c>
      <c r="G87" s="145">
        <f t="shared" si="51"/>
        <v>56756.7653972318</v>
      </c>
      <c r="H87" s="145">
        <f t="shared" si="44"/>
        <v>56756.7653972318</v>
      </c>
      <c r="I87" s="145">
        <f t="shared" si="44"/>
        <v>32745.805033742654</v>
      </c>
      <c r="J87" s="145">
        <f t="shared" si="44"/>
        <v>10900.131608147945</v>
      </c>
      <c r="K87" s="145">
        <f t="shared" si="44"/>
        <v>402.03137879886822</v>
      </c>
      <c r="L87" s="145">
        <f t="shared" si="44"/>
        <v>1.6430103562415428</v>
      </c>
      <c r="M87" s="145">
        <f t="shared" si="34"/>
        <v>1</v>
      </c>
      <c r="N87" s="145">
        <f t="shared" si="34"/>
        <v>0.57694981038048665</v>
      </c>
      <c r="O87" s="145">
        <f t="shared" si="34"/>
        <v>0.19204990862075411</v>
      </c>
      <c r="P87" s="145">
        <f t="shared" si="34"/>
        <v>7.0834089290521219E-3</v>
      </c>
      <c r="Q87" s="145">
        <f t="shared" si="34"/>
        <v>2.8948273298211554E-5</v>
      </c>
      <c r="R87" s="145">
        <f t="shared" si="34"/>
        <v>1.761904493677811E-5</v>
      </c>
      <c r="S87" s="172">
        <f t="shared" si="48"/>
        <v>37.097532956499997</v>
      </c>
      <c r="T87" s="145">
        <f t="shared" si="49"/>
        <v>35.471103575954757</v>
      </c>
      <c r="U87" s="145">
        <f t="shared" si="49"/>
        <v>33.412907002350742</v>
      </c>
      <c r="V87" s="145">
        <f t="shared" si="49"/>
        <v>31.007283054825621</v>
      </c>
      <c r="W87" s="145">
        <f t="shared" si="49"/>
        <v>28.774856446176141</v>
      </c>
      <c r="X87" s="173">
        <f t="shared" si="49"/>
        <v>26.703157514124257</v>
      </c>
      <c r="Y87" s="71"/>
      <c r="Z87" s="147">
        <f t="shared" si="52"/>
        <v>8.7451009086669751E-2</v>
      </c>
      <c r="AA87" s="147" t="e">
        <f>1/SUMIFS(#REF!,#REF!,Analytica!$C87,#REF!,RIGHT(Analytica!$D87,3))</f>
        <v>#REF!</v>
      </c>
      <c r="AB87" s="147" t="e">
        <f>1/SUMIFS(#REF!,#REF!,Analytica!$C87,#REF!,RIGHT(Analytica!$D87,3))</f>
        <v>#REF!</v>
      </c>
      <c r="AC87" s="147" t="e">
        <f>1/SUMIFS(#REF!,#REF!,Analytica!$C87,#REF!,RIGHT(Analytica!$D87,3))</f>
        <v>#REF!</v>
      </c>
      <c r="AD87" s="147" t="e">
        <f>1/SUMIFS(#REF!,#REF!,Analytica!$C87,#REF!,RIGHT(Analytica!$D87,3))</f>
        <v>#REF!</v>
      </c>
      <c r="AE87" s="147" t="e">
        <f>1/SUMIFS(#REF!,#REF!,Analytica!$C87,#REF!,RIGHT(Analytica!$D87,3))</f>
        <v>#REF!</v>
      </c>
      <c r="AF87" s="147"/>
      <c r="AG87" s="158"/>
      <c r="AH87" s="148"/>
      <c r="AI87" s="162">
        <f t="shared" si="53"/>
        <v>1169.6209727016771</v>
      </c>
      <c r="AJ87" s="162"/>
      <c r="AK87" s="149"/>
      <c r="AL87" s="149"/>
      <c r="AM87" s="149"/>
      <c r="AN87" s="149"/>
      <c r="AO87" s="149"/>
      <c r="AP87" s="149"/>
      <c r="AQ87" s="149"/>
      <c r="AR87" s="152"/>
      <c r="AS87" s="150"/>
      <c r="AT87" s="151"/>
      <c r="AU87" s="152"/>
      <c r="AV87" s="152"/>
      <c r="AW87" s="152"/>
      <c r="AX87" s="152"/>
      <c r="AY87" s="153"/>
      <c r="BA87" s="154">
        <f t="shared" si="39"/>
        <v>0</v>
      </c>
      <c r="BC87" s="90"/>
      <c r="BD87" s="90"/>
    </row>
    <row r="88" spans="1:56" x14ac:dyDescent="0.25">
      <c r="A88" s="63" t="str">
        <f t="shared" si="32"/>
        <v>CV7GAS</v>
      </c>
      <c r="B88" s="63" t="str">
        <f t="shared" si="41"/>
        <v>TFHCV7GAS-N</v>
      </c>
      <c r="C88" s="63" t="s">
        <v>294</v>
      </c>
      <c r="D88" s="63" t="s">
        <v>270</v>
      </c>
      <c r="E88" s="63" t="s">
        <v>355</v>
      </c>
      <c r="F88" s="144">
        <f t="shared" si="50"/>
        <v>0.16</v>
      </c>
      <c r="G88" s="145">
        <f t="shared" si="51"/>
        <v>64512.330335483297</v>
      </c>
      <c r="H88" s="145">
        <f t="shared" ref="H88:L90" si="54">(EXP(-((H$58)*$F88))*G88)</f>
        <v>64512.330335483297</v>
      </c>
      <c r="I88" s="145">
        <f t="shared" si="54"/>
        <v>28987.258562430718</v>
      </c>
      <c r="J88" s="145">
        <f t="shared" si="54"/>
        <v>5852.4265699655216</v>
      </c>
      <c r="K88" s="145">
        <f t="shared" si="54"/>
        <v>48.163990293780166</v>
      </c>
      <c r="L88" s="145">
        <f t="shared" si="54"/>
        <v>1.6157218754222567E-2</v>
      </c>
      <c r="M88" s="145">
        <f t="shared" si="34"/>
        <v>1</v>
      </c>
      <c r="N88" s="145">
        <f t="shared" si="34"/>
        <v>0.44932896411722156</v>
      </c>
      <c r="O88" s="145">
        <f t="shared" si="34"/>
        <v>9.0717953289412484E-2</v>
      </c>
      <c r="P88" s="145">
        <f t="shared" si="34"/>
        <v>7.4658580837667931E-4</v>
      </c>
      <c r="Q88" s="145">
        <f t="shared" si="34"/>
        <v>2.5045163723276199E-7</v>
      </c>
      <c r="R88" s="145">
        <f t="shared" si="34"/>
        <v>1.5500912690639181E-5</v>
      </c>
      <c r="S88" s="172">
        <f t="shared" si="48"/>
        <v>43.918692242049993</v>
      </c>
      <c r="T88" s="145">
        <f t="shared" si="49"/>
        <v>41.993209717339987</v>
      </c>
      <c r="U88" s="145">
        <f t="shared" si="49"/>
        <v>39.556570547944268</v>
      </c>
      <c r="V88" s="145">
        <f t="shared" si="49"/>
        <v>36.70862219716453</v>
      </c>
      <c r="W88" s="145">
        <f t="shared" si="49"/>
        <v>34.065717147569821</v>
      </c>
      <c r="X88" s="173">
        <f t="shared" si="49"/>
        <v>31.613092928011625</v>
      </c>
      <c r="Y88" s="71"/>
      <c r="Z88" s="147">
        <f t="shared" si="52"/>
        <v>9.0836209438411794E-2</v>
      </c>
      <c r="AA88" s="147" t="e">
        <f>1/SUMIFS(#REF!,#REF!,Analytica!$C88,#REF!,RIGHT(Analytica!$D88,3))</f>
        <v>#REF!</v>
      </c>
      <c r="AB88" s="147" t="e">
        <f>1/SUMIFS(#REF!,#REF!,Analytica!$C88,#REF!,RIGHT(Analytica!$D88,3))</f>
        <v>#REF!</v>
      </c>
      <c r="AC88" s="147" t="e">
        <f>1/SUMIFS(#REF!,#REF!,Analytica!$C88,#REF!,RIGHT(Analytica!$D88,3))</f>
        <v>#REF!</v>
      </c>
      <c r="AD88" s="147" t="e">
        <f>1/SUMIFS(#REF!,#REF!,Analytica!$C88,#REF!,RIGHT(Analytica!$D88,3))</f>
        <v>#REF!</v>
      </c>
      <c r="AE88" s="147" t="e">
        <f>1/SUMIFS(#REF!,#REF!,Analytica!$C88,#REF!,RIGHT(Analytica!$D88,3))</f>
        <v>#REF!</v>
      </c>
      <c r="AF88" s="147"/>
      <c r="AG88" s="158"/>
      <c r="AH88" s="148"/>
      <c r="AI88" s="162">
        <f t="shared" si="53"/>
        <v>1309.4277306076999</v>
      </c>
      <c r="AJ88" s="162"/>
      <c r="AK88" s="149"/>
      <c r="AL88" s="149"/>
      <c r="AM88" s="149"/>
      <c r="AN88" s="149"/>
      <c r="AO88" s="149"/>
      <c r="AP88" s="149"/>
      <c r="AQ88" s="149"/>
      <c r="AR88" s="152"/>
      <c r="AS88" s="150"/>
      <c r="AT88" s="151"/>
      <c r="AU88" s="152"/>
      <c r="AV88" s="152"/>
      <c r="AW88" s="152"/>
      <c r="AX88" s="152"/>
      <c r="AY88" s="153"/>
      <c r="BA88" s="154">
        <f t="shared" si="39"/>
        <v>0</v>
      </c>
      <c r="BC88" s="90"/>
      <c r="BD88" s="90"/>
    </row>
    <row r="89" spans="1:56" x14ac:dyDescent="0.25">
      <c r="A89" s="63" t="str">
        <f t="shared" si="32"/>
        <v>CV8GAS</v>
      </c>
      <c r="B89" s="63" t="str">
        <f t="shared" si="41"/>
        <v>TFHCV8GAS-N</v>
      </c>
      <c r="C89" s="63" t="s">
        <v>294</v>
      </c>
      <c r="D89" s="63" t="s">
        <v>272</v>
      </c>
      <c r="E89" s="63" t="s">
        <v>356</v>
      </c>
      <c r="F89" s="144">
        <f t="shared" si="50"/>
        <v>0.16</v>
      </c>
      <c r="G89" s="145">
        <f t="shared" si="51"/>
        <v>92421.691229504097</v>
      </c>
      <c r="H89" s="145">
        <f t="shared" si="54"/>
        <v>92421.691229504097</v>
      </c>
      <c r="I89" s="145">
        <f t="shared" si="54"/>
        <v>41527.742782114779</v>
      </c>
      <c r="J89" s="145">
        <f t="shared" si="54"/>
        <v>8384.3066678866562</v>
      </c>
      <c r="K89" s="145">
        <f t="shared" si="54"/>
        <v>69.000723058119178</v>
      </c>
      <c r="L89" s="145">
        <f t="shared" si="54"/>
        <v>2.3147163884250102E-2</v>
      </c>
      <c r="M89" s="145">
        <f t="shared" si="34"/>
        <v>1</v>
      </c>
      <c r="N89" s="145">
        <f t="shared" si="34"/>
        <v>0.44932896411722156</v>
      </c>
      <c r="O89" s="145">
        <f t="shared" si="34"/>
        <v>9.0717953289412484E-2</v>
      </c>
      <c r="P89" s="145">
        <f t="shared" si="34"/>
        <v>7.4658580837667942E-4</v>
      </c>
      <c r="Q89" s="145">
        <f t="shared" si="34"/>
        <v>2.5045163723276199E-7</v>
      </c>
      <c r="R89" s="145">
        <f t="shared" si="34"/>
        <v>1.0819970795781829E-5</v>
      </c>
      <c r="S89" s="172">
        <f t="shared" si="48"/>
        <v>49.543156916100003</v>
      </c>
      <c r="T89" s="145">
        <f t="shared" si="49"/>
        <v>47.371086711113783</v>
      </c>
      <c r="U89" s="145">
        <f t="shared" si="49"/>
        <v>44.622398383784549</v>
      </c>
      <c r="V89" s="145">
        <f t="shared" si="49"/>
        <v>41.409726402251003</v>
      </c>
      <c r="W89" s="145">
        <f t="shared" si="49"/>
        <v>38.428356673280405</v>
      </c>
      <c r="X89" s="173">
        <f t="shared" si="49"/>
        <v>35.661636164024017</v>
      </c>
      <c r="Y89" s="71"/>
      <c r="Z89" s="147">
        <f t="shared" si="52"/>
        <v>7.6728133313099883E-2</v>
      </c>
      <c r="AA89" s="147" t="e">
        <f>1/SUMIFS(#REF!,#REF!,Analytica!$C89,#REF!,RIGHT(Analytica!$D89,3))</f>
        <v>#REF!</v>
      </c>
      <c r="AB89" s="147" t="e">
        <f>1/SUMIFS(#REF!,#REF!,Analytica!$C89,#REF!,RIGHT(Analytica!$D89,3))</f>
        <v>#REF!</v>
      </c>
      <c r="AC89" s="147" t="e">
        <f>1/SUMIFS(#REF!,#REF!,Analytica!$C89,#REF!,RIGHT(Analytica!$D89,3))</f>
        <v>#REF!</v>
      </c>
      <c r="AD89" s="147" t="e">
        <f>1/SUMIFS(#REF!,#REF!,Analytica!$C89,#REF!,RIGHT(Analytica!$D89,3))</f>
        <v>#REF!</v>
      </c>
      <c r="AE89" s="147" t="e">
        <f>1/SUMIFS(#REF!,#REF!,Analytica!$C89,#REF!,RIGHT(Analytica!$D89,3))</f>
        <v>#REF!</v>
      </c>
      <c r="AF89" s="147"/>
      <c r="AG89" s="158"/>
      <c r="AH89" s="148"/>
      <c r="AI89" s="162">
        <f t="shared" si="53"/>
        <v>1465.9458249315746</v>
      </c>
      <c r="AJ89" s="162"/>
      <c r="AK89" s="149"/>
      <c r="AL89" s="149"/>
      <c r="AM89" s="149"/>
      <c r="AN89" s="149"/>
      <c r="AO89" s="149"/>
      <c r="AP89" s="149"/>
      <c r="AQ89" s="149"/>
      <c r="AR89" s="152"/>
      <c r="AS89" s="150"/>
      <c r="AT89" s="151"/>
      <c r="AU89" s="152"/>
      <c r="AV89" s="152"/>
      <c r="AW89" s="152"/>
      <c r="AX89" s="152"/>
      <c r="AY89" s="153"/>
      <c r="BA89" s="154">
        <f t="shared" si="39"/>
        <v>0</v>
      </c>
      <c r="BC89" s="90"/>
      <c r="BD89" s="90"/>
    </row>
    <row r="90" spans="1:56" ht="15.75" thickBot="1" x14ac:dyDescent="0.3">
      <c r="A90" s="63" t="str">
        <f t="shared" si="32"/>
        <v>CV9GAS</v>
      </c>
      <c r="B90" s="63" t="str">
        <f t="shared" si="41"/>
        <v>TFHCV9GAS-N</v>
      </c>
      <c r="C90" s="63" t="s">
        <v>294</v>
      </c>
      <c r="D90" s="63" t="s">
        <v>274</v>
      </c>
      <c r="E90" s="63" t="s">
        <v>357</v>
      </c>
      <c r="F90" s="144">
        <f t="shared" si="50"/>
        <v>0.18</v>
      </c>
      <c r="G90" s="145">
        <f t="shared" si="51"/>
        <v>116959.183879244</v>
      </c>
      <c r="H90" s="145">
        <f t="shared" si="54"/>
        <v>116959.183879244</v>
      </c>
      <c r="I90" s="145">
        <f t="shared" si="54"/>
        <v>47552.055593322402</v>
      </c>
      <c r="J90" s="145">
        <f t="shared" si="54"/>
        <v>7860.3019222272696</v>
      </c>
      <c r="K90" s="145">
        <f t="shared" si="54"/>
        <v>35.501689865113427</v>
      </c>
      <c r="L90" s="145">
        <f t="shared" si="54"/>
        <v>4.3812565909997049E-3</v>
      </c>
      <c r="M90" s="145">
        <f t="shared" si="34"/>
        <v>1</v>
      </c>
      <c r="N90" s="145">
        <f t="shared" si="34"/>
        <v>0.40656965974059917</v>
      </c>
      <c r="O90" s="145">
        <f t="shared" si="34"/>
        <v>6.7205512739749784E-2</v>
      </c>
      <c r="P90" s="145">
        <f t="shared" si="34"/>
        <v>3.0353913807886688E-4</v>
      </c>
      <c r="Q90" s="145">
        <f t="shared" si="34"/>
        <v>3.7459705562952537E-8</v>
      </c>
      <c r="R90" s="145">
        <f t="shared" si="34"/>
        <v>8.5499912604764987E-6</v>
      </c>
      <c r="S90" s="172">
        <f t="shared" si="48"/>
        <v>59.834730574999881</v>
      </c>
      <c r="T90" s="145">
        <f t="shared" si="49"/>
        <v>57.211457380572085</v>
      </c>
      <c r="U90" s="145">
        <f t="shared" si="49"/>
        <v>53.891785487662389</v>
      </c>
      <c r="V90" s="145">
        <f t="shared" si="49"/>
        <v>50.011746862621877</v>
      </c>
      <c r="W90" s="145">
        <f t="shared" si="49"/>
        <v>46.411058784154974</v>
      </c>
      <c r="X90" s="173">
        <f t="shared" si="49"/>
        <v>43.069608893748722</v>
      </c>
      <c r="Y90" s="71"/>
      <c r="Z90" s="147">
        <f t="shared" si="52"/>
        <v>6.8017451511854232E-2</v>
      </c>
      <c r="AA90" s="147" t="e">
        <f>1/SUMIFS(#REF!,#REF!,Analytica!$C90,#REF!,RIGHT(Analytica!$D90,3))</f>
        <v>#REF!</v>
      </c>
      <c r="AB90" s="147" t="e">
        <f>1/SUMIFS(#REF!,#REF!,Analytica!$C90,#REF!,RIGHT(Analytica!$D90,3))</f>
        <v>#REF!</v>
      </c>
      <c r="AC90" s="147" t="e">
        <f>1/SUMIFS(#REF!,#REF!,Analytica!$C90,#REF!,RIGHT(Analytica!$D90,3))</f>
        <v>#REF!</v>
      </c>
      <c r="AD90" s="147" t="e">
        <f>1/SUMIFS(#REF!,#REF!,Analytica!$C90,#REF!,RIGHT(Analytica!$D90,3))</f>
        <v>#REF!</v>
      </c>
      <c r="AE90" s="147" t="e">
        <f>1/SUMIFS(#REF!,#REF!,Analytica!$C90,#REF!,RIGHT(Analytica!$D90,3))</f>
        <v>#REF!</v>
      </c>
      <c r="AF90" s="147"/>
      <c r="AG90" s="158"/>
      <c r="AH90" s="148"/>
      <c r="AI90" s="162">
        <f t="shared" si="53"/>
        <v>1641.1727897628796</v>
      </c>
      <c r="AJ90" s="162"/>
      <c r="AK90" s="149"/>
      <c r="AL90" s="149"/>
      <c r="AM90" s="149"/>
      <c r="AN90" s="149"/>
      <c r="AO90" s="149"/>
      <c r="AP90" s="149"/>
      <c r="AQ90" s="149"/>
      <c r="AR90" s="152"/>
      <c r="AS90" s="150"/>
      <c r="AT90" s="151"/>
      <c r="AU90" s="152"/>
      <c r="AV90" s="152"/>
      <c r="AW90" s="152"/>
      <c r="AX90" s="152"/>
      <c r="AY90" s="153"/>
      <c r="BA90" s="154">
        <f t="shared" si="39"/>
        <v>0</v>
      </c>
      <c r="BC90" s="90"/>
      <c r="BD90" s="90"/>
    </row>
    <row r="91" spans="1:56" x14ac:dyDescent="0.25">
      <c r="A91" s="63" t="str">
        <f t="shared" si="32"/>
        <v>CV1ELC</v>
      </c>
      <c r="B91" s="63" t="str">
        <f t="shared" si="41"/>
        <v>TFHCV1ELC-N</v>
      </c>
      <c r="C91" s="63" t="s">
        <v>250</v>
      </c>
      <c r="D91" s="63" t="str">
        <f>D73</f>
        <v>TFHCV1</v>
      </c>
      <c r="E91" s="65" t="s">
        <v>358</v>
      </c>
      <c r="F91" s="144">
        <f>F73</f>
        <v>4.8000000000000001E-2</v>
      </c>
      <c r="G91" s="71">
        <f>G72</f>
        <v>30805.1279861556</v>
      </c>
      <c r="H91" s="71">
        <f t="shared" ref="H91:M91" si="55">H73</f>
        <v>17100.2801251579</v>
      </c>
      <c r="I91" s="71">
        <f t="shared" si="55"/>
        <v>13451.556778491855</v>
      </c>
      <c r="J91" s="71">
        <f t="shared" si="55"/>
        <v>8323.5999284680747</v>
      </c>
      <c r="K91" s="71">
        <f t="shared" si="55"/>
        <v>1972.0918752186101</v>
      </c>
      <c r="L91" s="71">
        <f t="shared" si="55"/>
        <v>178.90413861851181</v>
      </c>
      <c r="M91" s="71">
        <f t="shared" si="55"/>
        <v>1</v>
      </c>
      <c r="N91" s="71">
        <f t="shared" ref="N91:R130" si="56">I91/$G91</f>
        <v>0.43666615456157937</v>
      </c>
      <c r="O91" s="71">
        <f t="shared" si="56"/>
        <v>0.27020176420655861</v>
      </c>
      <c r="P91" s="71">
        <f t="shared" si="56"/>
        <v>6.401829838541509E-2</v>
      </c>
      <c r="Q91" s="71">
        <f t="shared" si="56"/>
        <v>5.8076090025957587E-3</v>
      </c>
      <c r="R91" s="71">
        <f t="shared" si="56"/>
        <v>3.2462127748646868E-5</v>
      </c>
      <c r="S91" s="155" t="s">
        <v>359</v>
      </c>
      <c r="T91" s="156"/>
      <c r="U91" s="156"/>
      <c r="V91" s="156"/>
      <c r="W91" s="156"/>
      <c r="X91" s="157" t="s">
        <v>359</v>
      </c>
      <c r="Y91" s="71"/>
      <c r="Z91" s="147" t="e">
        <f t="shared" ref="Z91:Z107" si="57">(AA91/AB91)*AA91</f>
        <v>#REF!</v>
      </c>
      <c r="AA91" s="147" t="e">
        <f>1/SUMIFS(#REF!,#REF!,Analytica!$C91,#REF!,RIGHT(Analytica!$D91,3))</f>
        <v>#REF!</v>
      </c>
      <c r="AB91" s="147" t="e">
        <f>1/SUMIFS(#REF!,#REF!,Analytica!$C91,#REF!,RIGHT(Analytica!$D91,3))</f>
        <v>#REF!</v>
      </c>
      <c r="AC91" s="147" t="e">
        <f>1/SUMIFS(#REF!,#REF!,Analytica!$C91,#REF!,RIGHT(Analytica!$D91,3))</f>
        <v>#REF!</v>
      </c>
      <c r="AD91" s="147" t="e">
        <f>1/SUMIFS(#REF!,#REF!,Analytica!$C91,#REF!,RIGHT(Analytica!$D91,3))</f>
        <v>#REF!</v>
      </c>
      <c r="AE91" s="147" t="e">
        <f>1/SUMIFS(#REF!,#REF!,Analytica!$C91,#REF!,RIGHT(Analytica!$D91,3))</f>
        <v>#REF!</v>
      </c>
      <c r="AF91" s="147"/>
      <c r="AG91" s="71"/>
      <c r="AH91" s="71"/>
      <c r="AI91" s="71"/>
      <c r="AJ91" s="71"/>
      <c r="AK91" s="149"/>
      <c r="AL91" s="149"/>
      <c r="AM91" s="149"/>
      <c r="AN91" s="149"/>
      <c r="AO91" s="149"/>
      <c r="AP91" s="149"/>
      <c r="AQ91" s="149"/>
      <c r="AR91" s="152"/>
      <c r="AS91" s="150"/>
      <c r="AT91" s="151"/>
      <c r="AU91" s="152"/>
      <c r="AV91" s="152"/>
      <c r="AW91" s="152"/>
      <c r="AX91" s="152"/>
      <c r="AY91" s="153"/>
      <c r="BA91" s="112">
        <f t="shared" si="39"/>
        <v>0</v>
      </c>
      <c r="BB91" s="63" t="s">
        <v>252</v>
      </c>
    </row>
    <row r="92" spans="1:56" x14ac:dyDescent="0.25">
      <c r="A92" s="63" t="str">
        <f t="shared" si="32"/>
        <v>CV2ELC</v>
      </c>
      <c r="B92" s="63" t="str">
        <f t="shared" si="41"/>
        <v>TFHCV2ELC-N</v>
      </c>
      <c r="C92" s="63" t="s">
        <v>250</v>
      </c>
      <c r="D92" s="63" t="str">
        <f>D100</f>
        <v>TFHCV2</v>
      </c>
      <c r="E92" s="65" t="s">
        <v>360</v>
      </c>
      <c r="F92" s="144">
        <f>F74</f>
        <v>4.8000000000000001E-2</v>
      </c>
      <c r="G92" s="71">
        <f>G91</f>
        <v>30805.1279861556</v>
      </c>
      <c r="H92" s="71">
        <f t="shared" ref="H92:M99" si="58">H100</f>
        <v>17100.2801251579</v>
      </c>
      <c r="I92" s="71">
        <f t="shared" si="58"/>
        <v>13451.556778491855</v>
      </c>
      <c r="J92" s="71">
        <f t="shared" si="58"/>
        <v>8323.5999284680747</v>
      </c>
      <c r="K92" s="71">
        <f t="shared" si="58"/>
        <v>1972.0918752186101</v>
      </c>
      <c r="L92" s="71">
        <f t="shared" si="58"/>
        <v>178.90413861851181</v>
      </c>
      <c r="M92" s="71">
        <f t="shared" si="58"/>
        <v>1</v>
      </c>
      <c r="N92" s="71">
        <f t="shared" si="56"/>
        <v>0.43666615456157937</v>
      </c>
      <c r="O92" s="71">
        <f t="shared" si="56"/>
        <v>0.27020176420655861</v>
      </c>
      <c r="P92" s="71">
        <f t="shared" si="56"/>
        <v>6.401829838541509E-2</v>
      </c>
      <c r="Q92" s="71">
        <f t="shared" si="56"/>
        <v>5.8076090025957587E-3</v>
      </c>
      <c r="R92" s="71">
        <f t="shared" si="56"/>
        <v>3.2462127748646868E-5</v>
      </c>
      <c r="S92" s="174"/>
      <c r="T92" s="71"/>
      <c r="U92" s="71"/>
      <c r="V92" s="71"/>
      <c r="W92" s="71"/>
      <c r="X92" s="175"/>
      <c r="Y92" s="71"/>
      <c r="Z92" s="147" t="e">
        <f t="shared" si="57"/>
        <v>#REF!</v>
      </c>
      <c r="AA92" s="147" t="e">
        <f>1/SUMIFS(#REF!,#REF!,Analytica!$C92,#REF!,RIGHT(Analytica!$D92,3))</f>
        <v>#REF!</v>
      </c>
      <c r="AB92" s="147" t="e">
        <f>1/SUMIFS(#REF!,#REF!,Analytica!$C92,#REF!,RIGHT(Analytica!$D92,3))</f>
        <v>#REF!</v>
      </c>
      <c r="AC92" s="147" t="e">
        <f>1/SUMIFS(#REF!,#REF!,Analytica!$C92,#REF!,RIGHT(Analytica!$D92,3))</f>
        <v>#REF!</v>
      </c>
      <c r="AD92" s="147" t="e">
        <f>1/SUMIFS(#REF!,#REF!,Analytica!$C92,#REF!,RIGHT(Analytica!$D92,3))</f>
        <v>#REF!</v>
      </c>
      <c r="AE92" s="147" t="e">
        <f>1/SUMIFS(#REF!,#REF!,Analytica!$C92,#REF!,RIGHT(Analytica!$D92,3))</f>
        <v>#REF!</v>
      </c>
      <c r="AF92" s="147"/>
      <c r="AG92" s="71"/>
      <c r="AH92" s="71"/>
      <c r="AI92" s="71"/>
      <c r="AJ92" s="71"/>
      <c r="AK92" s="149"/>
      <c r="AL92" s="149"/>
      <c r="AM92" s="149"/>
      <c r="AN92" s="149"/>
      <c r="AO92" s="149"/>
      <c r="AP92" s="149"/>
      <c r="AQ92" s="149"/>
      <c r="AR92" s="152"/>
      <c r="AS92" s="150"/>
      <c r="AT92" s="151"/>
      <c r="AU92" s="152"/>
      <c r="AV92" s="152"/>
      <c r="AW92" s="152"/>
      <c r="AX92" s="152"/>
      <c r="AY92" s="153"/>
      <c r="BA92" s="112">
        <f t="shared" si="39"/>
        <v>0</v>
      </c>
      <c r="BB92" s="63" t="s">
        <v>252</v>
      </c>
    </row>
    <row r="93" spans="1:56" ht="15.75" thickBot="1" x14ac:dyDescent="0.3">
      <c r="A93" s="63" t="str">
        <f t="shared" si="32"/>
        <v>CV3ELC</v>
      </c>
      <c r="B93" s="63" t="str">
        <f t="shared" si="41"/>
        <v>TFHCV3ELC-N</v>
      </c>
      <c r="C93" s="63" t="s">
        <v>250</v>
      </c>
      <c r="D93" s="63" t="str">
        <f>D101</f>
        <v>TFHCV3</v>
      </c>
      <c r="E93" s="65" t="s">
        <v>361</v>
      </c>
      <c r="F93" s="144">
        <f>F75</f>
        <v>8.4999999999999992E-2</v>
      </c>
      <c r="G93" s="71">
        <f>G92</f>
        <v>30805.1279861556</v>
      </c>
      <c r="H93" s="71">
        <f t="shared" si="58"/>
        <v>30096.280108149898</v>
      </c>
      <c r="I93" s="71">
        <f t="shared" si="58"/>
        <v>19676.038579512857</v>
      </c>
      <c r="J93" s="71">
        <f t="shared" si="58"/>
        <v>8409.8326904830083</v>
      </c>
      <c r="K93" s="71">
        <f t="shared" si="58"/>
        <v>656.65374726387358</v>
      </c>
      <c r="L93" s="71">
        <f t="shared" si="58"/>
        <v>9.3666626481927722</v>
      </c>
      <c r="M93" s="71">
        <f t="shared" si="58"/>
        <v>1</v>
      </c>
      <c r="N93" s="71">
        <f t="shared" si="56"/>
        <v>0.63872607795545067</v>
      </c>
      <c r="O93" s="71">
        <f t="shared" si="56"/>
        <v>0.27300106314320605</v>
      </c>
      <c r="P93" s="71">
        <f t="shared" si="56"/>
        <v>2.1316377830307539E-2</v>
      </c>
      <c r="Q93" s="71">
        <f t="shared" si="56"/>
        <v>3.0406179946411275E-4</v>
      </c>
      <c r="R93" s="71">
        <f t="shared" si="56"/>
        <v>3.2462127748646868E-5</v>
      </c>
      <c r="S93" s="176" t="s">
        <v>359</v>
      </c>
      <c r="T93" s="177"/>
      <c r="U93" s="177"/>
      <c r="V93" s="177"/>
      <c r="W93" s="177"/>
      <c r="X93" s="178" t="s">
        <v>359</v>
      </c>
      <c r="Y93" s="71"/>
      <c r="Z93" s="147" t="e">
        <f t="shared" si="57"/>
        <v>#REF!</v>
      </c>
      <c r="AA93" s="147" t="e">
        <f>1/SUMIFS(#REF!,#REF!,Analytica!$C93,#REF!,RIGHT(Analytica!$D93,3))</f>
        <v>#REF!</v>
      </c>
      <c r="AB93" s="147" t="e">
        <f>1/SUMIFS(#REF!,#REF!,Analytica!$C93,#REF!,RIGHT(Analytica!$D93,3))</f>
        <v>#REF!</v>
      </c>
      <c r="AC93" s="147" t="e">
        <f>1/SUMIFS(#REF!,#REF!,Analytica!$C93,#REF!,RIGHT(Analytica!$D93,3))</f>
        <v>#REF!</v>
      </c>
      <c r="AD93" s="147" t="e">
        <f>1/SUMIFS(#REF!,#REF!,Analytica!$C93,#REF!,RIGHT(Analytica!$D93,3))</f>
        <v>#REF!</v>
      </c>
      <c r="AE93" s="147" t="e">
        <f>1/SUMIFS(#REF!,#REF!,Analytica!$C93,#REF!,RIGHT(Analytica!$D93,3))</f>
        <v>#REF!</v>
      </c>
      <c r="AF93" s="147"/>
      <c r="AG93" s="71"/>
      <c r="AH93" s="71"/>
      <c r="AI93" s="71"/>
      <c r="AJ93" s="71"/>
      <c r="AK93" s="149"/>
      <c r="AL93" s="149"/>
      <c r="AM93" s="149"/>
      <c r="AN93" s="149"/>
      <c r="AO93" s="149"/>
      <c r="AP93" s="149"/>
      <c r="AQ93" s="149"/>
      <c r="AR93" s="152"/>
      <c r="AS93" s="150"/>
      <c r="AT93" s="151"/>
      <c r="AU93" s="152"/>
      <c r="AV93" s="152"/>
      <c r="AW93" s="152"/>
      <c r="AX93" s="152"/>
      <c r="AY93" s="153"/>
      <c r="BA93" s="112">
        <f t="shared" si="39"/>
        <v>0</v>
      </c>
      <c r="BB93" s="63" t="s">
        <v>252</v>
      </c>
    </row>
    <row r="94" spans="1:56" x14ac:dyDescent="0.25">
      <c r="A94" s="63" t="str">
        <f t="shared" si="32"/>
        <v>CV4ELC</v>
      </c>
      <c r="B94" s="63" t="str">
        <f t="shared" si="41"/>
        <v>TFHCV4ELC-N</v>
      </c>
      <c r="C94" s="63" t="s">
        <v>250</v>
      </c>
      <c r="D94" s="63" t="str">
        <f t="shared" ref="D94:D99" si="59">D102</f>
        <v>TFHCV4</v>
      </c>
      <c r="E94" s="65" t="s">
        <v>362</v>
      </c>
      <c r="F94" s="144">
        <f t="shared" ref="F94:F99" si="60">F76</f>
        <v>8.4999999999999992E-2</v>
      </c>
      <c r="G94" s="71">
        <f t="shared" ref="G94:G99" si="61">G93</f>
        <v>30805.1279861556</v>
      </c>
      <c r="H94" s="71">
        <f t="shared" si="58"/>
        <v>54512.527353451602</v>
      </c>
      <c r="I94" s="71">
        <f t="shared" si="58"/>
        <v>35638.643294750975</v>
      </c>
      <c r="J94" s="71">
        <f t="shared" si="58"/>
        <v>15232.488298570934</v>
      </c>
      <c r="K94" s="71">
        <f t="shared" si="58"/>
        <v>1189.3780636954896</v>
      </c>
      <c r="L94" s="71">
        <f t="shared" si="58"/>
        <v>16.965566906785078</v>
      </c>
      <c r="M94" s="71">
        <f t="shared" si="58"/>
        <v>1</v>
      </c>
      <c r="N94" s="71">
        <f t="shared" si="56"/>
        <v>1.1569061914226633</v>
      </c>
      <c r="O94" s="71">
        <f t="shared" si="56"/>
        <v>0.49447898107797827</v>
      </c>
      <c r="P94" s="71">
        <f t="shared" si="56"/>
        <v>3.8609742645121237E-2</v>
      </c>
      <c r="Q94" s="71">
        <f t="shared" si="56"/>
        <v>5.5073840025627295E-4</v>
      </c>
      <c r="R94" s="71">
        <f t="shared" si="56"/>
        <v>3.2462127748646868E-5</v>
      </c>
      <c r="S94" s="71"/>
      <c r="T94" s="71"/>
      <c r="U94" s="71"/>
      <c r="V94" s="71"/>
      <c r="W94" s="71"/>
      <c r="X94" s="179"/>
      <c r="Y94" s="71"/>
      <c r="Z94" s="147" t="e">
        <f t="shared" si="57"/>
        <v>#REF!</v>
      </c>
      <c r="AA94" s="147" t="e">
        <f>1/SUMIFS(#REF!,#REF!,Analytica!$C94,#REF!,RIGHT(Analytica!$D94,3))</f>
        <v>#REF!</v>
      </c>
      <c r="AB94" s="147" t="e">
        <f>1/SUMIFS(#REF!,#REF!,Analytica!$C94,#REF!,RIGHT(Analytica!$D94,3))</f>
        <v>#REF!</v>
      </c>
      <c r="AC94" s="147" t="e">
        <f>1/SUMIFS(#REF!,#REF!,Analytica!$C94,#REF!,RIGHT(Analytica!$D94,3))</f>
        <v>#REF!</v>
      </c>
      <c r="AD94" s="147" t="e">
        <f>1/SUMIFS(#REF!,#REF!,Analytica!$C94,#REF!,RIGHT(Analytica!$D94,3))</f>
        <v>#REF!</v>
      </c>
      <c r="AE94" s="147" t="e">
        <f>1/SUMIFS(#REF!,#REF!,Analytica!$C94,#REF!,RIGHT(Analytica!$D94,3))</f>
        <v>#REF!</v>
      </c>
      <c r="AF94" s="147"/>
      <c r="AG94" s="71"/>
      <c r="AH94" s="71"/>
      <c r="AI94" s="71"/>
      <c r="AJ94" s="71"/>
      <c r="AK94" s="149"/>
      <c r="AL94" s="149"/>
      <c r="AM94" s="149"/>
      <c r="AN94" s="149"/>
      <c r="AO94" s="149"/>
      <c r="AP94" s="149"/>
      <c r="AQ94" s="149"/>
      <c r="AR94" s="152"/>
      <c r="AS94" s="150"/>
      <c r="AT94" s="151"/>
      <c r="AU94" s="152"/>
      <c r="AV94" s="152"/>
      <c r="AW94" s="152"/>
      <c r="AX94" s="152"/>
      <c r="AY94" s="153"/>
      <c r="BA94" s="112"/>
    </row>
    <row r="95" spans="1:56" x14ac:dyDescent="0.25">
      <c r="A95" s="63" t="str">
        <f t="shared" si="32"/>
        <v>CV5ELC</v>
      </c>
      <c r="B95" s="63" t="str">
        <f t="shared" si="41"/>
        <v>TFHCV5ELC-N</v>
      </c>
      <c r="C95" s="63" t="s">
        <v>250</v>
      </c>
      <c r="D95" s="63" t="str">
        <f t="shared" si="59"/>
        <v>TFHCV5</v>
      </c>
      <c r="E95" s="65" t="s">
        <v>363</v>
      </c>
      <c r="F95" s="144">
        <f t="shared" si="60"/>
        <v>0.11</v>
      </c>
      <c r="G95" s="71">
        <f t="shared" si="61"/>
        <v>30805.1279861556</v>
      </c>
      <c r="H95" s="71">
        <f t="shared" si="58"/>
        <v>53608.118344618502</v>
      </c>
      <c r="I95" s="71">
        <f t="shared" si="58"/>
        <v>30929.193713782333</v>
      </c>
      <c r="J95" s="71">
        <f t="shared" si="58"/>
        <v>10295.434229414555</v>
      </c>
      <c r="K95" s="71">
        <f t="shared" si="58"/>
        <v>379.72822415195355</v>
      </c>
      <c r="L95" s="71">
        <f t="shared" si="58"/>
        <v>1.5518624608428848</v>
      </c>
      <c r="M95" s="71">
        <f t="shared" si="58"/>
        <v>1</v>
      </c>
      <c r="N95" s="71">
        <f t="shared" si="56"/>
        <v>1.0040274374994478</v>
      </c>
      <c r="O95" s="71">
        <f t="shared" si="56"/>
        <v>0.33421170118304705</v>
      </c>
      <c r="P95" s="71">
        <f t="shared" si="56"/>
        <v>1.232678612218753E-2</v>
      </c>
      <c r="Q95" s="71">
        <f t="shared" si="56"/>
        <v>5.037675745221123E-5</v>
      </c>
      <c r="R95" s="71">
        <f t="shared" si="56"/>
        <v>3.2462127748646868E-5</v>
      </c>
      <c r="S95" s="71"/>
      <c r="T95" s="71"/>
      <c r="U95" s="71"/>
      <c r="V95" s="71"/>
      <c r="W95" s="71"/>
      <c r="X95" s="179"/>
      <c r="Y95" s="71"/>
      <c r="Z95" s="147" t="e">
        <f t="shared" si="57"/>
        <v>#REF!</v>
      </c>
      <c r="AA95" s="147" t="e">
        <f>1/SUMIFS(#REF!,#REF!,Analytica!$C95,#REF!,RIGHT(Analytica!$D95,3))</f>
        <v>#REF!</v>
      </c>
      <c r="AB95" s="147" t="e">
        <f>1/SUMIFS(#REF!,#REF!,Analytica!$C95,#REF!,RIGHT(Analytica!$D95,3))</f>
        <v>#REF!</v>
      </c>
      <c r="AC95" s="147" t="e">
        <f>1/SUMIFS(#REF!,#REF!,Analytica!$C95,#REF!,RIGHT(Analytica!$D95,3))</f>
        <v>#REF!</v>
      </c>
      <c r="AD95" s="147" t="e">
        <f>1/SUMIFS(#REF!,#REF!,Analytica!$C95,#REF!,RIGHT(Analytica!$D95,3))</f>
        <v>#REF!</v>
      </c>
      <c r="AE95" s="147" t="e">
        <f>1/SUMIFS(#REF!,#REF!,Analytica!$C95,#REF!,RIGHT(Analytica!$D95,3))</f>
        <v>#REF!</v>
      </c>
      <c r="AF95" s="147"/>
      <c r="AG95" s="71"/>
      <c r="AH95" s="71"/>
      <c r="AI95" s="71"/>
      <c r="AJ95" s="71"/>
      <c r="AK95" s="149"/>
      <c r="AL95" s="149"/>
      <c r="AM95" s="149"/>
      <c r="AN95" s="149"/>
      <c r="AO95" s="149"/>
      <c r="AP95" s="149"/>
      <c r="AQ95" s="149"/>
      <c r="AR95" s="152"/>
      <c r="AS95" s="150"/>
      <c r="AT95" s="151"/>
      <c r="AU95" s="152"/>
      <c r="AV95" s="152"/>
      <c r="AW95" s="152"/>
      <c r="AX95" s="152"/>
      <c r="AY95" s="153"/>
      <c r="BA95" s="112"/>
    </row>
    <row r="96" spans="1:56" x14ac:dyDescent="0.25">
      <c r="A96" s="96" t="str">
        <f t="shared" si="32"/>
        <v>CV6ELC</v>
      </c>
      <c r="B96" s="96" t="str">
        <f t="shared" si="41"/>
        <v>TFHCV6ELC-N</v>
      </c>
      <c r="C96" s="96" t="s">
        <v>250</v>
      </c>
      <c r="D96" s="96" t="str">
        <f t="shared" si="59"/>
        <v>TFHCV6</v>
      </c>
      <c r="E96" s="97" t="s">
        <v>364</v>
      </c>
      <c r="F96" s="180">
        <f t="shared" si="60"/>
        <v>0.11</v>
      </c>
      <c r="G96" s="96">
        <f t="shared" si="61"/>
        <v>30805.1279861556</v>
      </c>
      <c r="H96" s="96">
        <f t="shared" si="58"/>
        <v>56756.7653972318</v>
      </c>
      <c r="I96" s="96">
        <f t="shared" si="58"/>
        <v>32745.805033742654</v>
      </c>
      <c r="J96" s="96">
        <f t="shared" si="58"/>
        <v>10900.131608147945</v>
      </c>
      <c r="K96" s="96">
        <f t="shared" si="58"/>
        <v>402.03137879886822</v>
      </c>
      <c r="L96" s="96">
        <f t="shared" si="58"/>
        <v>1.6430103562415428</v>
      </c>
      <c r="M96" s="96">
        <f t="shared" si="58"/>
        <v>1</v>
      </c>
      <c r="N96" s="96">
        <f t="shared" si="56"/>
        <v>1.0629985062376377</v>
      </c>
      <c r="O96" s="96">
        <f t="shared" si="56"/>
        <v>0.35384146474076228</v>
      </c>
      <c r="P96" s="96">
        <f t="shared" si="56"/>
        <v>1.3050793977533502E-2</v>
      </c>
      <c r="Q96" s="96">
        <f t="shared" si="56"/>
        <v>5.3335612076662768E-5</v>
      </c>
      <c r="R96" s="96">
        <f t="shared" si="56"/>
        <v>3.2462127748646868E-5</v>
      </c>
      <c r="S96" s="96"/>
      <c r="T96" s="96"/>
      <c r="U96" s="96"/>
      <c r="V96" s="96"/>
      <c r="W96" s="96"/>
      <c r="X96" s="181"/>
      <c r="Y96" s="96"/>
      <c r="Z96" s="182" t="e">
        <f t="shared" si="57"/>
        <v>#REF!</v>
      </c>
      <c r="AA96" s="182" t="e">
        <f>1/SUMIFS(#REF!,#REF!,Analytica!$C96,#REF!,RIGHT(Analytica!$D96,3))</f>
        <v>#REF!</v>
      </c>
      <c r="AB96" s="182" t="e">
        <f>1/SUMIFS(#REF!,#REF!,Analytica!$C96,#REF!,RIGHT(Analytica!$D96,3))</f>
        <v>#REF!</v>
      </c>
      <c r="AC96" s="182" t="e">
        <f>1/SUMIFS(#REF!,#REF!,Analytica!$C96,#REF!,RIGHT(Analytica!$D96,3))</f>
        <v>#REF!</v>
      </c>
      <c r="AD96" s="182" t="e">
        <f>1/SUMIFS(#REF!,#REF!,Analytica!$C96,#REF!,RIGHT(Analytica!$D96,3))</f>
        <v>#REF!</v>
      </c>
      <c r="AE96" s="182" t="e">
        <f>1/SUMIFS(#REF!,#REF!,Analytica!$C96,#REF!,RIGHT(Analytica!$D96,3))</f>
        <v>#REF!</v>
      </c>
      <c r="AF96" s="147"/>
      <c r="AG96" s="71"/>
      <c r="AH96" s="71"/>
      <c r="AI96" s="71"/>
      <c r="AJ96" s="71"/>
      <c r="AK96" s="149"/>
      <c r="AL96" s="149"/>
      <c r="AM96" s="149"/>
      <c r="AN96" s="149"/>
      <c r="AO96" s="149"/>
      <c r="AP96" s="149"/>
      <c r="AQ96" s="149"/>
      <c r="AR96" s="152"/>
      <c r="AS96" s="150"/>
      <c r="AT96" s="151"/>
      <c r="AU96" s="152"/>
      <c r="AV96" s="152"/>
      <c r="AW96" s="152"/>
      <c r="AX96" s="152"/>
      <c r="AY96" s="153"/>
      <c r="BA96" s="112"/>
    </row>
    <row r="97" spans="1:55" x14ac:dyDescent="0.25">
      <c r="A97" s="63" t="str">
        <f t="shared" si="32"/>
        <v>CV7ELC</v>
      </c>
      <c r="B97" s="63" t="str">
        <f t="shared" si="41"/>
        <v>TFHCV7ELC-N</v>
      </c>
      <c r="C97" s="63" t="s">
        <v>250</v>
      </c>
      <c r="D97" s="63" t="str">
        <f t="shared" si="59"/>
        <v>TFHCV7</v>
      </c>
      <c r="E97" s="65" t="s">
        <v>365</v>
      </c>
      <c r="F97" s="144">
        <f t="shared" si="60"/>
        <v>0.16</v>
      </c>
      <c r="G97" s="71">
        <f t="shared" si="61"/>
        <v>30805.1279861556</v>
      </c>
      <c r="H97" s="71">
        <f t="shared" si="58"/>
        <v>64512.330335483297</v>
      </c>
      <c r="I97" s="71">
        <f t="shared" si="58"/>
        <v>28987.258562430718</v>
      </c>
      <c r="J97" s="71">
        <f t="shared" si="58"/>
        <v>5852.4265699655216</v>
      </c>
      <c r="K97" s="71">
        <f t="shared" si="58"/>
        <v>48.163990293780166</v>
      </c>
      <c r="L97" s="71">
        <f t="shared" si="58"/>
        <v>1.6157218754222567E-2</v>
      </c>
      <c r="M97" s="71">
        <f t="shared" si="58"/>
        <v>1</v>
      </c>
      <c r="N97" s="71">
        <f t="shared" si="56"/>
        <v>0.94098809053668386</v>
      </c>
      <c r="O97" s="71">
        <f t="shared" si="56"/>
        <v>0.18998221895379599</v>
      </c>
      <c r="P97" s="71">
        <f t="shared" si="56"/>
        <v>1.5635056058012798E-3</v>
      </c>
      <c r="Q97" s="71">
        <f t="shared" si="56"/>
        <v>5.2449769926240608E-7</v>
      </c>
      <c r="R97" s="71">
        <f t="shared" si="56"/>
        <v>3.2462127748646868E-5</v>
      </c>
      <c r="S97" s="71"/>
      <c r="T97" s="71"/>
      <c r="U97" s="71"/>
      <c r="V97" s="71"/>
      <c r="W97" s="71"/>
      <c r="X97" s="179"/>
      <c r="Y97" s="71"/>
      <c r="Z97" s="147" t="e">
        <f t="shared" si="57"/>
        <v>#REF!</v>
      </c>
      <c r="AA97" s="147" t="e">
        <f>1/SUMIFS(#REF!,#REF!,Analytica!$C97,#REF!,RIGHT(Analytica!$D97,3))</f>
        <v>#REF!</v>
      </c>
      <c r="AB97" s="147" t="e">
        <f>1/SUMIFS(#REF!,#REF!,Analytica!$C97,#REF!,RIGHT(Analytica!$D97,3))</f>
        <v>#REF!</v>
      </c>
      <c r="AC97" s="147" t="e">
        <f>1/SUMIFS(#REF!,#REF!,Analytica!$C97,#REF!,RIGHT(Analytica!$D97,3))</f>
        <v>#REF!</v>
      </c>
      <c r="AD97" s="147" t="e">
        <f>1/SUMIFS(#REF!,#REF!,Analytica!$C97,#REF!,RIGHT(Analytica!$D97,3))</f>
        <v>#REF!</v>
      </c>
      <c r="AE97" s="147" t="e">
        <f>1/SUMIFS(#REF!,#REF!,Analytica!$C97,#REF!,RIGHT(Analytica!$D97,3))</f>
        <v>#REF!</v>
      </c>
      <c r="AF97" s="147"/>
      <c r="AG97" s="71"/>
      <c r="AH97" s="71"/>
      <c r="AI97" s="71"/>
      <c r="AJ97" s="71"/>
      <c r="AK97" s="149"/>
      <c r="AL97" s="149"/>
      <c r="AM97" s="149"/>
      <c r="AN97" s="149"/>
      <c r="AO97" s="149"/>
      <c r="AP97" s="149"/>
      <c r="AQ97" s="149"/>
      <c r="AR97" s="152"/>
      <c r="AS97" s="150"/>
      <c r="AT97" s="151"/>
      <c r="AU97" s="152"/>
      <c r="AV97" s="152"/>
      <c r="AW97" s="152"/>
      <c r="AX97" s="152"/>
      <c r="AY97" s="153"/>
      <c r="BA97" s="112"/>
    </row>
    <row r="98" spans="1:55" x14ac:dyDescent="0.25">
      <c r="A98" s="63" t="str">
        <f t="shared" si="32"/>
        <v>CV8ELC</v>
      </c>
      <c r="B98" s="63" t="str">
        <f t="shared" si="41"/>
        <v>TFHCV8ELC-N</v>
      </c>
      <c r="C98" s="63" t="s">
        <v>250</v>
      </c>
      <c r="D98" s="63" t="str">
        <f t="shared" si="59"/>
        <v>TFHCV8</v>
      </c>
      <c r="E98" s="65" t="s">
        <v>366</v>
      </c>
      <c r="F98" s="144">
        <f t="shared" si="60"/>
        <v>0.16</v>
      </c>
      <c r="G98" s="71">
        <f t="shared" si="61"/>
        <v>30805.1279861556</v>
      </c>
      <c r="H98" s="71">
        <f t="shared" si="58"/>
        <v>92421.691229504097</v>
      </c>
      <c r="I98" s="71">
        <f t="shared" si="58"/>
        <v>41527.742782114779</v>
      </c>
      <c r="J98" s="71">
        <f t="shared" si="58"/>
        <v>8384.3066678866562</v>
      </c>
      <c r="K98" s="71">
        <f t="shared" si="58"/>
        <v>69.000723058119178</v>
      </c>
      <c r="L98" s="71">
        <f t="shared" si="58"/>
        <v>2.3147163884250102E-2</v>
      </c>
      <c r="M98" s="71">
        <f t="shared" si="58"/>
        <v>1</v>
      </c>
      <c r="N98" s="71">
        <f t="shared" si="56"/>
        <v>1.348078891305958</v>
      </c>
      <c r="O98" s="71">
        <f t="shared" si="56"/>
        <v>0.27217243413676839</v>
      </c>
      <c r="P98" s="71">
        <f t="shared" si="56"/>
        <v>2.2399102866616687E-3</v>
      </c>
      <c r="Q98" s="71">
        <f t="shared" si="56"/>
        <v>7.5140619102939197E-7</v>
      </c>
      <c r="R98" s="71">
        <f t="shared" si="56"/>
        <v>3.2462127748646868E-5</v>
      </c>
      <c r="S98" s="71"/>
      <c r="T98" s="71"/>
      <c r="U98" s="71"/>
      <c r="V98" s="71"/>
      <c r="W98" s="71"/>
      <c r="X98" s="179"/>
      <c r="Y98" s="71"/>
      <c r="Z98" s="147" t="e">
        <f t="shared" si="57"/>
        <v>#REF!</v>
      </c>
      <c r="AA98" s="147" t="e">
        <f>1/SUMIFS(#REF!,#REF!,Analytica!$C98,#REF!,RIGHT(Analytica!$D98,3))</f>
        <v>#REF!</v>
      </c>
      <c r="AB98" s="147" t="e">
        <f>1/SUMIFS(#REF!,#REF!,Analytica!$C98,#REF!,RIGHT(Analytica!$D98,3))</f>
        <v>#REF!</v>
      </c>
      <c r="AC98" s="147" t="e">
        <f>1/SUMIFS(#REF!,#REF!,Analytica!$C98,#REF!,RIGHT(Analytica!$D98,3))</f>
        <v>#REF!</v>
      </c>
      <c r="AD98" s="147" t="e">
        <f>1/SUMIFS(#REF!,#REF!,Analytica!$C98,#REF!,RIGHT(Analytica!$D98,3))</f>
        <v>#REF!</v>
      </c>
      <c r="AE98" s="147" t="e">
        <f>1/SUMIFS(#REF!,#REF!,Analytica!$C98,#REF!,RIGHT(Analytica!$D98,3))</f>
        <v>#REF!</v>
      </c>
      <c r="AF98" s="147"/>
      <c r="AG98" s="71"/>
      <c r="AH98" s="71"/>
      <c r="AI98" s="71"/>
      <c r="AJ98" s="71"/>
      <c r="AK98" s="149"/>
      <c r="AL98" s="149"/>
      <c r="AM98" s="149"/>
      <c r="AN98" s="149"/>
      <c r="AO98" s="149"/>
      <c r="AP98" s="149"/>
      <c r="AQ98" s="149"/>
      <c r="AR98" s="152"/>
      <c r="AS98" s="150"/>
      <c r="AT98" s="151"/>
      <c r="AU98" s="152"/>
      <c r="AV98" s="152"/>
      <c r="AW98" s="152"/>
      <c r="AX98" s="152"/>
      <c r="AY98" s="153"/>
      <c r="BA98" s="112"/>
    </row>
    <row r="99" spans="1:55" x14ac:dyDescent="0.25">
      <c r="A99" s="63" t="str">
        <f t="shared" si="32"/>
        <v>CV9ELC</v>
      </c>
      <c r="B99" s="63" t="str">
        <f t="shared" si="41"/>
        <v>TFHCV9ELC-N</v>
      </c>
      <c r="C99" s="63" t="s">
        <v>250</v>
      </c>
      <c r="D99" s="63" t="str">
        <f t="shared" si="59"/>
        <v>TFHCV9</v>
      </c>
      <c r="E99" s="65" t="s">
        <v>367</v>
      </c>
      <c r="F99" s="144">
        <f t="shared" si="60"/>
        <v>0.18</v>
      </c>
      <c r="G99" s="71">
        <f t="shared" si="61"/>
        <v>30805.1279861556</v>
      </c>
      <c r="H99" s="71">
        <f t="shared" si="58"/>
        <v>116959.183879244</v>
      </c>
      <c r="I99" s="71">
        <f t="shared" si="58"/>
        <v>47552.055593322402</v>
      </c>
      <c r="J99" s="71">
        <f t="shared" si="58"/>
        <v>7860.3019222272696</v>
      </c>
      <c r="K99" s="71">
        <f t="shared" si="58"/>
        <v>35.501689865113427</v>
      </c>
      <c r="L99" s="71">
        <f t="shared" si="58"/>
        <v>4.3812565909997049E-3</v>
      </c>
      <c r="M99" s="71">
        <f t="shared" si="58"/>
        <v>1</v>
      </c>
      <c r="N99" s="71">
        <f t="shared" si="56"/>
        <v>1.5436409033811898</v>
      </c>
      <c r="O99" s="71">
        <f t="shared" si="56"/>
        <v>0.25516212514227621</v>
      </c>
      <c r="P99" s="71">
        <f t="shared" si="56"/>
        <v>1.152460391694154E-3</v>
      </c>
      <c r="Q99" s="71">
        <f t="shared" si="56"/>
        <v>1.4222491115663353E-7</v>
      </c>
      <c r="R99" s="71">
        <f t="shared" si="56"/>
        <v>3.2462127748646868E-5</v>
      </c>
      <c r="S99" s="71"/>
      <c r="T99" s="71"/>
      <c r="U99" s="71"/>
      <c r="V99" s="71"/>
      <c r="W99" s="71"/>
      <c r="X99" s="179"/>
      <c r="Y99" s="71"/>
      <c r="Z99" s="147" t="e">
        <f t="shared" si="57"/>
        <v>#REF!</v>
      </c>
      <c r="AA99" s="147" t="e">
        <f>1/SUMIFS(#REF!,#REF!,Analytica!$C99,#REF!,RIGHT(Analytica!$D99,3))</f>
        <v>#REF!</v>
      </c>
      <c r="AB99" s="147" t="e">
        <f>1/SUMIFS(#REF!,#REF!,Analytica!$C99,#REF!,RIGHT(Analytica!$D99,3))</f>
        <v>#REF!</v>
      </c>
      <c r="AC99" s="147" t="e">
        <f>1/SUMIFS(#REF!,#REF!,Analytica!$C99,#REF!,RIGHT(Analytica!$D99,3))</f>
        <v>#REF!</v>
      </c>
      <c r="AD99" s="147" t="e">
        <f>1/SUMIFS(#REF!,#REF!,Analytica!$C99,#REF!,RIGHT(Analytica!$D99,3))</f>
        <v>#REF!</v>
      </c>
      <c r="AE99" s="147" t="e">
        <f>1/SUMIFS(#REF!,#REF!,Analytica!$C99,#REF!,RIGHT(Analytica!$D99,3))</f>
        <v>#REF!</v>
      </c>
      <c r="AF99" s="147"/>
      <c r="AG99" s="71"/>
      <c r="AH99" s="71"/>
      <c r="AI99" s="71"/>
      <c r="AJ99" s="71"/>
      <c r="AK99" s="149"/>
      <c r="AL99" s="149"/>
      <c r="AM99" s="149"/>
      <c r="AN99" s="149"/>
      <c r="AO99" s="149"/>
      <c r="AP99" s="149"/>
      <c r="AQ99" s="149"/>
      <c r="AR99" s="152"/>
      <c r="AS99" s="150"/>
      <c r="AT99" s="151"/>
      <c r="AU99" s="152"/>
      <c r="AV99" s="152"/>
      <c r="AW99" s="152"/>
      <c r="AX99" s="152"/>
      <c r="AY99" s="153"/>
      <c r="BA99" s="112"/>
    </row>
    <row r="100" spans="1:55" x14ac:dyDescent="0.25">
      <c r="A100" s="63" t="str">
        <f t="shared" si="32"/>
        <v>CV2HGN</v>
      </c>
      <c r="B100" s="63" t="str">
        <f t="shared" si="41"/>
        <v>TFHCV2HGN-N</v>
      </c>
      <c r="C100" s="63" t="s">
        <v>334</v>
      </c>
      <c r="D100" s="63" t="str">
        <f t="shared" ref="D100:D107" si="62">D83</f>
        <v>TFHCV2</v>
      </c>
      <c r="E100" s="65" t="s">
        <v>368</v>
      </c>
      <c r="F100" s="144">
        <f t="shared" ref="F100:F107" si="63">F74</f>
        <v>4.8000000000000001E-2</v>
      </c>
      <c r="G100" s="71">
        <f t="shared" ref="G100:M107" si="64">G83</f>
        <v>17100.2801251579</v>
      </c>
      <c r="H100" s="71">
        <f t="shared" si="64"/>
        <v>17100.2801251579</v>
      </c>
      <c r="I100" s="71">
        <f t="shared" si="64"/>
        <v>13451.556778491855</v>
      </c>
      <c r="J100" s="71">
        <f t="shared" si="64"/>
        <v>8323.5999284680747</v>
      </c>
      <c r="K100" s="71">
        <f t="shared" si="64"/>
        <v>1972.0918752186101</v>
      </c>
      <c r="L100" s="71">
        <f t="shared" si="64"/>
        <v>178.90413861851181</v>
      </c>
      <c r="M100" s="71">
        <f t="shared" si="64"/>
        <v>1</v>
      </c>
      <c r="N100" s="71">
        <f t="shared" si="56"/>
        <v>0.78662786106655347</v>
      </c>
      <c r="O100" s="71">
        <f t="shared" si="56"/>
        <v>0.48675225595997168</v>
      </c>
      <c r="P100" s="71">
        <f t="shared" si="56"/>
        <v>0.11532512103806254</v>
      </c>
      <c r="Q100" s="71">
        <f t="shared" si="56"/>
        <v>1.0462058943426802E-2</v>
      </c>
      <c r="R100" s="71">
        <f t="shared" si="56"/>
        <v>5.8478574191822851E-5</v>
      </c>
      <c r="S100" s="183" t="s">
        <v>359</v>
      </c>
      <c r="T100" s="71"/>
      <c r="U100" s="71"/>
      <c r="V100" s="71"/>
      <c r="W100" s="71"/>
      <c r="X100" s="184" t="s">
        <v>359</v>
      </c>
      <c r="Y100" s="71"/>
      <c r="Z100" s="147" t="e">
        <f t="shared" si="57"/>
        <v>#REF!</v>
      </c>
      <c r="AA100" s="147" t="e">
        <f>1/SUMIFS(#REF!,#REF!,Analytica!$C100,#REF!,RIGHT(Analytica!$D100,3))</f>
        <v>#REF!</v>
      </c>
      <c r="AB100" s="147" t="e">
        <f>1/SUMIFS(#REF!,#REF!,Analytica!$C100,#REF!,RIGHT(Analytica!$D100,3))</f>
        <v>#REF!</v>
      </c>
      <c r="AC100" s="147" t="e">
        <f>1/SUMIFS(#REF!,#REF!,Analytica!$C100,#REF!,RIGHT(Analytica!$D100,3))</f>
        <v>#REF!</v>
      </c>
      <c r="AD100" s="147" t="e">
        <f>1/SUMIFS(#REF!,#REF!,Analytica!$C100,#REF!,RIGHT(Analytica!$D100,3))</f>
        <v>#REF!</v>
      </c>
      <c r="AE100" s="147" t="e">
        <f>1/SUMIFS(#REF!,#REF!,Analytica!$C100,#REF!,RIGHT(Analytica!$D100,3))</f>
        <v>#REF!</v>
      </c>
      <c r="AF100" s="147"/>
      <c r="AG100" s="71"/>
      <c r="AH100" s="71"/>
      <c r="AI100" s="71"/>
      <c r="AJ100" s="71"/>
      <c r="AK100" s="149"/>
      <c r="AL100" s="149"/>
      <c r="AM100" s="149"/>
      <c r="AN100" s="149"/>
      <c r="AO100" s="149"/>
      <c r="AP100" s="149"/>
      <c r="AQ100" s="149"/>
      <c r="AR100" s="152"/>
      <c r="AS100" s="150"/>
      <c r="AT100" s="151"/>
      <c r="AU100" s="152"/>
      <c r="AV100" s="152"/>
      <c r="AW100" s="152"/>
      <c r="AX100" s="152"/>
      <c r="AY100" s="153"/>
      <c r="BA100" s="112">
        <f t="shared" si="39"/>
        <v>0</v>
      </c>
      <c r="BB100" s="63" t="s">
        <v>369</v>
      </c>
    </row>
    <row r="101" spans="1:55" x14ac:dyDescent="0.25">
      <c r="A101" s="63" t="str">
        <f t="shared" si="32"/>
        <v>CV3HGN</v>
      </c>
      <c r="B101" s="63" t="str">
        <f t="shared" si="41"/>
        <v>TFHCV3HGN-N</v>
      </c>
      <c r="C101" s="63" t="s">
        <v>334</v>
      </c>
      <c r="D101" s="63" t="str">
        <f t="shared" si="62"/>
        <v>TFHCV3</v>
      </c>
      <c r="E101" s="65" t="s">
        <v>370</v>
      </c>
      <c r="F101" s="144">
        <f t="shared" si="63"/>
        <v>8.4999999999999992E-2</v>
      </c>
      <c r="G101" s="71">
        <f t="shared" si="64"/>
        <v>30096.280108149898</v>
      </c>
      <c r="H101" s="71">
        <f t="shared" si="64"/>
        <v>30096.280108149898</v>
      </c>
      <c r="I101" s="71">
        <f t="shared" si="64"/>
        <v>19676.038579512857</v>
      </c>
      <c r="J101" s="71">
        <f t="shared" si="64"/>
        <v>8409.8326904830083</v>
      </c>
      <c r="K101" s="71">
        <f t="shared" si="64"/>
        <v>656.65374726387358</v>
      </c>
      <c r="L101" s="71">
        <f t="shared" si="64"/>
        <v>9.3666626481927722</v>
      </c>
      <c r="M101" s="71">
        <f t="shared" si="64"/>
        <v>1</v>
      </c>
      <c r="N101" s="71">
        <f t="shared" si="56"/>
        <v>0.65376978512984729</v>
      </c>
      <c r="O101" s="71">
        <f t="shared" si="56"/>
        <v>0.27943096822140734</v>
      </c>
      <c r="P101" s="71">
        <f t="shared" si="56"/>
        <v>2.1818435531042773E-2</v>
      </c>
      <c r="Q101" s="71">
        <f t="shared" si="56"/>
        <v>3.112232679432145E-4</v>
      </c>
      <c r="R101" s="71">
        <f t="shared" si="56"/>
        <v>3.3226697665177755E-5</v>
      </c>
      <c r="S101" s="183"/>
      <c r="T101" s="71"/>
      <c r="U101" s="71"/>
      <c r="V101" s="71"/>
      <c r="W101" s="71"/>
      <c r="X101" s="184"/>
      <c r="Y101" s="71"/>
      <c r="Z101" s="147" t="e">
        <f t="shared" si="57"/>
        <v>#REF!</v>
      </c>
      <c r="AA101" s="147" t="e">
        <f>1/SUMIFS(#REF!,#REF!,Analytica!$C101,#REF!,RIGHT(Analytica!$D101,3))</f>
        <v>#REF!</v>
      </c>
      <c r="AB101" s="147" t="e">
        <f>1/SUMIFS(#REF!,#REF!,Analytica!$C101,#REF!,RIGHT(Analytica!$D101,3))</f>
        <v>#REF!</v>
      </c>
      <c r="AC101" s="147" t="e">
        <f>1/SUMIFS(#REF!,#REF!,Analytica!$C101,#REF!,RIGHT(Analytica!$D101,3))</f>
        <v>#REF!</v>
      </c>
      <c r="AD101" s="147" t="e">
        <f>1/SUMIFS(#REF!,#REF!,Analytica!$C101,#REF!,RIGHT(Analytica!$D101,3))</f>
        <v>#REF!</v>
      </c>
      <c r="AE101" s="147" t="e">
        <f>1/SUMIFS(#REF!,#REF!,Analytica!$C101,#REF!,RIGHT(Analytica!$D101,3))</f>
        <v>#REF!</v>
      </c>
      <c r="AF101" s="147"/>
      <c r="AG101" s="71"/>
      <c r="AH101" s="71"/>
      <c r="AI101" s="71"/>
      <c r="AJ101" s="71"/>
      <c r="AK101" s="149"/>
      <c r="AL101" s="149"/>
      <c r="AM101" s="149"/>
      <c r="AN101" s="149"/>
      <c r="AO101" s="149"/>
      <c r="AP101" s="149"/>
      <c r="AQ101" s="149"/>
      <c r="AR101" s="152"/>
      <c r="AS101" s="150"/>
      <c r="AT101" s="151"/>
      <c r="AU101" s="152"/>
      <c r="AV101" s="152"/>
      <c r="AW101" s="152"/>
      <c r="AX101" s="152"/>
      <c r="AY101" s="153"/>
      <c r="BA101" s="112">
        <f t="shared" si="39"/>
        <v>0</v>
      </c>
      <c r="BB101" s="63" t="s">
        <v>369</v>
      </c>
    </row>
    <row r="102" spans="1:55" x14ac:dyDescent="0.25">
      <c r="A102" s="63" t="str">
        <f t="shared" si="32"/>
        <v>CV4HGN</v>
      </c>
      <c r="B102" s="63" t="str">
        <f t="shared" si="41"/>
        <v>TFHCV4HGN-N</v>
      </c>
      <c r="C102" s="63" t="s">
        <v>334</v>
      </c>
      <c r="D102" s="63" t="str">
        <f t="shared" si="62"/>
        <v>TFHCV4</v>
      </c>
      <c r="E102" s="65" t="s">
        <v>371</v>
      </c>
      <c r="F102" s="144">
        <f t="shared" si="63"/>
        <v>8.4999999999999992E-2</v>
      </c>
      <c r="G102" s="71">
        <f t="shared" si="64"/>
        <v>54512.527353451602</v>
      </c>
      <c r="H102" s="71">
        <f t="shared" si="64"/>
        <v>54512.527353451602</v>
      </c>
      <c r="I102" s="71">
        <f t="shared" si="64"/>
        <v>35638.643294750975</v>
      </c>
      <c r="J102" s="71">
        <f t="shared" si="64"/>
        <v>15232.488298570934</v>
      </c>
      <c r="K102" s="71">
        <f t="shared" si="64"/>
        <v>1189.3780636954896</v>
      </c>
      <c r="L102" s="71">
        <f t="shared" si="64"/>
        <v>16.965566906785078</v>
      </c>
      <c r="M102" s="71">
        <f t="shared" si="64"/>
        <v>1</v>
      </c>
      <c r="N102" s="71">
        <f t="shared" si="56"/>
        <v>0.65376978512984729</v>
      </c>
      <c r="O102" s="71">
        <f t="shared" si="56"/>
        <v>0.27943096822140734</v>
      </c>
      <c r="P102" s="71">
        <f t="shared" si="56"/>
        <v>2.1818435531042773E-2</v>
      </c>
      <c r="Q102" s="71">
        <f t="shared" si="56"/>
        <v>3.112232679432145E-4</v>
      </c>
      <c r="R102" s="71">
        <f t="shared" si="56"/>
        <v>1.8344407213339054E-5</v>
      </c>
      <c r="S102" s="183"/>
      <c r="T102" s="71"/>
      <c r="U102" s="71"/>
      <c r="V102" s="71"/>
      <c r="W102" s="71"/>
      <c r="X102" s="185"/>
      <c r="Y102" s="71"/>
      <c r="Z102" s="147" t="e">
        <f t="shared" si="57"/>
        <v>#REF!</v>
      </c>
      <c r="AA102" s="147" t="e">
        <f>1/SUMIFS(#REF!,#REF!,Analytica!$C102,#REF!,RIGHT(Analytica!$D102,3))</f>
        <v>#REF!</v>
      </c>
      <c r="AB102" s="147" t="e">
        <f>1/SUMIFS(#REF!,#REF!,Analytica!$C102,#REF!,RIGHT(Analytica!$D102,3))</f>
        <v>#REF!</v>
      </c>
      <c r="AC102" s="147" t="e">
        <f>1/SUMIFS(#REF!,#REF!,Analytica!$C102,#REF!,RIGHT(Analytica!$D102,3))</f>
        <v>#REF!</v>
      </c>
      <c r="AD102" s="147" t="e">
        <f>1/SUMIFS(#REF!,#REF!,Analytica!$C102,#REF!,RIGHT(Analytica!$D102,3))</f>
        <v>#REF!</v>
      </c>
      <c r="AE102" s="147" t="e">
        <f>1/SUMIFS(#REF!,#REF!,Analytica!$C102,#REF!,RIGHT(Analytica!$D102,3))</f>
        <v>#REF!</v>
      </c>
      <c r="AF102" s="147"/>
      <c r="AG102" s="71"/>
      <c r="AH102" s="71"/>
      <c r="AI102" s="71"/>
      <c r="AJ102" s="71"/>
      <c r="AK102" s="149"/>
      <c r="AL102" s="149"/>
      <c r="AM102" s="149"/>
      <c r="AN102" s="149"/>
      <c r="AO102" s="149"/>
      <c r="AP102" s="149"/>
      <c r="AQ102" s="149"/>
      <c r="AR102" s="152"/>
      <c r="AS102" s="150"/>
      <c r="AT102" s="151"/>
      <c r="AU102" s="152"/>
      <c r="AV102" s="152"/>
      <c r="AW102" s="152"/>
      <c r="AX102" s="152"/>
      <c r="AY102" s="153"/>
      <c r="BA102" s="112">
        <f t="shared" si="39"/>
        <v>0</v>
      </c>
      <c r="BB102" s="63" t="s">
        <v>369</v>
      </c>
    </row>
    <row r="103" spans="1:55" x14ac:dyDescent="0.25">
      <c r="A103" s="63" t="str">
        <f t="shared" si="32"/>
        <v>CV5HGN</v>
      </c>
      <c r="B103" s="63" t="str">
        <f t="shared" si="41"/>
        <v>TFHCV5HGN-N</v>
      </c>
      <c r="C103" s="63" t="s">
        <v>334</v>
      </c>
      <c r="D103" s="63" t="str">
        <f t="shared" si="62"/>
        <v>TFHCV5</v>
      </c>
      <c r="E103" s="65" t="s">
        <v>372</v>
      </c>
      <c r="F103" s="144">
        <f t="shared" si="63"/>
        <v>0.11</v>
      </c>
      <c r="G103" s="71">
        <f t="shared" si="64"/>
        <v>53608.118344618502</v>
      </c>
      <c r="H103" s="71">
        <f t="shared" si="64"/>
        <v>53608.118344618502</v>
      </c>
      <c r="I103" s="71">
        <f t="shared" si="64"/>
        <v>30929.193713782333</v>
      </c>
      <c r="J103" s="71">
        <f t="shared" si="64"/>
        <v>10295.434229414555</v>
      </c>
      <c r="K103" s="71">
        <f t="shared" si="64"/>
        <v>379.72822415195355</v>
      </c>
      <c r="L103" s="71">
        <f t="shared" si="64"/>
        <v>1.5518624608428848</v>
      </c>
      <c r="M103" s="71">
        <f t="shared" si="64"/>
        <v>1</v>
      </c>
      <c r="N103" s="71">
        <f t="shared" si="56"/>
        <v>0.57694981038048665</v>
      </c>
      <c r="O103" s="71">
        <f t="shared" si="56"/>
        <v>0.19204990862075411</v>
      </c>
      <c r="P103" s="71">
        <f t="shared" si="56"/>
        <v>7.0834089290521219E-3</v>
      </c>
      <c r="Q103" s="71">
        <f t="shared" si="56"/>
        <v>2.8948273298211554E-5</v>
      </c>
      <c r="R103" s="71">
        <f t="shared" si="56"/>
        <v>1.8653891068728135E-5</v>
      </c>
      <c r="S103" s="183"/>
      <c r="T103" s="71"/>
      <c r="U103" s="71"/>
      <c r="V103" s="71"/>
      <c r="W103" s="71"/>
      <c r="X103" s="185"/>
      <c r="Y103" s="71"/>
      <c r="Z103" s="147" t="e">
        <f t="shared" si="57"/>
        <v>#REF!</v>
      </c>
      <c r="AA103" s="147" t="e">
        <f>1/SUMIFS(#REF!,#REF!,Analytica!$C103,#REF!,RIGHT(Analytica!$D103,3))</f>
        <v>#REF!</v>
      </c>
      <c r="AB103" s="147" t="e">
        <f>1/SUMIFS(#REF!,#REF!,Analytica!$C103,#REF!,RIGHT(Analytica!$D103,3))</f>
        <v>#REF!</v>
      </c>
      <c r="AC103" s="147" t="e">
        <f>1/SUMIFS(#REF!,#REF!,Analytica!$C103,#REF!,RIGHT(Analytica!$D103,3))</f>
        <v>#REF!</v>
      </c>
      <c r="AD103" s="147" t="e">
        <f>1/SUMIFS(#REF!,#REF!,Analytica!$C103,#REF!,RIGHT(Analytica!$D103,3))</f>
        <v>#REF!</v>
      </c>
      <c r="AE103" s="147" t="e">
        <f>1/SUMIFS(#REF!,#REF!,Analytica!$C103,#REF!,RIGHT(Analytica!$D103,3))</f>
        <v>#REF!</v>
      </c>
      <c r="AF103" s="147"/>
      <c r="AG103" s="71"/>
      <c r="AH103" s="71"/>
      <c r="AI103" s="71"/>
      <c r="AJ103" s="71"/>
      <c r="AK103" s="149"/>
      <c r="AL103" s="149"/>
      <c r="AM103" s="149"/>
      <c r="AN103" s="149"/>
      <c r="AO103" s="149"/>
      <c r="AP103" s="149"/>
      <c r="AQ103" s="149"/>
      <c r="AR103" s="152"/>
      <c r="AS103" s="150"/>
      <c r="AT103" s="151"/>
      <c r="AU103" s="152"/>
      <c r="AV103" s="152"/>
      <c r="AW103" s="152"/>
      <c r="AX103" s="152"/>
      <c r="AY103" s="153"/>
      <c r="BA103" s="112">
        <f t="shared" si="39"/>
        <v>0</v>
      </c>
      <c r="BB103" s="63" t="s">
        <v>369</v>
      </c>
    </row>
    <row r="104" spans="1:55" x14ac:dyDescent="0.25">
      <c r="A104" s="63" t="str">
        <f t="shared" si="32"/>
        <v>CV6HGN</v>
      </c>
      <c r="B104" s="63" t="str">
        <f t="shared" si="41"/>
        <v>TFHCV6HGN-N</v>
      </c>
      <c r="C104" s="63" t="s">
        <v>334</v>
      </c>
      <c r="D104" s="63" t="str">
        <f t="shared" si="62"/>
        <v>TFHCV6</v>
      </c>
      <c r="E104" s="65" t="s">
        <v>373</v>
      </c>
      <c r="F104" s="144">
        <f t="shared" si="63"/>
        <v>0.11</v>
      </c>
      <c r="G104" s="71">
        <f t="shared" si="64"/>
        <v>56756.7653972318</v>
      </c>
      <c r="H104" s="71">
        <f t="shared" si="64"/>
        <v>56756.7653972318</v>
      </c>
      <c r="I104" s="71">
        <f t="shared" si="64"/>
        <v>32745.805033742654</v>
      </c>
      <c r="J104" s="71">
        <f t="shared" si="64"/>
        <v>10900.131608147945</v>
      </c>
      <c r="K104" s="71">
        <f t="shared" si="64"/>
        <v>402.03137879886822</v>
      </c>
      <c r="L104" s="71">
        <f t="shared" si="64"/>
        <v>1.6430103562415428</v>
      </c>
      <c r="M104" s="71">
        <f t="shared" si="64"/>
        <v>1</v>
      </c>
      <c r="N104" s="71">
        <f t="shared" si="56"/>
        <v>0.57694981038048665</v>
      </c>
      <c r="O104" s="71">
        <f t="shared" si="56"/>
        <v>0.19204990862075411</v>
      </c>
      <c r="P104" s="71">
        <f t="shared" si="56"/>
        <v>7.0834089290521219E-3</v>
      </c>
      <c r="Q104" s="71">
        <f t="shared" si="56"/>
        <v>2.8948273298211554E-5</v>
      </c>
      <c r="R104" s="71">
        <f t="shared" si="56"/>
        <v>1.761904493677811E-5</v>
      </c>
      <c r="S104" s="183"/>
      <c r="T104" s="71"/>
      <c r="U104" s="71"/>
      <c r="V104" s="71"/>
      <c r="W104" s="71"/>
      <c r="X104" s="185"/>
      <c r="Y104" s="71"/>
      <c r="Z104" s="147" t="e">
        <f t="shared" si="57"/>
        <v>#REF!</v>
      </c>
      <c r="AA104" s="147" t="e">
        <f>1/SUMIFS(#REF!,#REF!,Analytica!$C104,#REF!,RIGHT(Analytica!$D104,3))</f>
        <v>#REF!</v>
      </c>
      <c r="AB104" s="147" t="e">
        <f>1/SUMIFS(#REF!,#REF!,Analytica!$C104,#REF!,RIGHT(Analytica!$D104,3))</f>
        <v>#REF!</v>
      </c>
      <c r="AC104" s="147" t="e">
        <f>1/SUMIFS(#REF!,#REF!,Analytica!$C104,#REF!,RIGHT(Analytica!$D104,3))</f>
        <v>#REF!</v>
      </c>
      <c r="AD104" s="147" t="e">
        <f>1/SUMIFS(#REF!,#REF!,Analytica!$C104,#REF!,RIGHT(Analytica!$D104,3))</f>
        <v>#REF!</v>
      </c>
      <c r="AE104" s="147" t="e">
        <f>1/SUMIFS(#REF!,#REF!,Analytica!$C104,#REF!,RIGHT(Analytica!$D104,3))</f>
        <v>#REF!</v>
      </c>
      <c r="AF104" s="147"/>
      <c r="AG104" s="71"/>
      <c r="AH104" s="71"/>
      <c r="AI104" s="71"/>
      <c r="AJ104" s="71"/>
      <c r="AK104" s="149"/>
      <c r="AL104" s="149"/>
      <c r="AM104" s="149"/>
      <c r="AN104" s="149"/>
      <c r="AO104" s="149"/>
      <c r="AP104" s="149"/>
      <c r="AQ104" s="149"/>
      <c r="AR104" s="152"/>
      <c r="AS104" s="150"/>
      <c r="AT104" s="151"/>
      <c r="AU104" s="152"/>
      <c r="AV104" s="152"/>
      <c r="AW104" s="152"/>
      <c r="AX104" s="152"/>
      <c r="AY104" s="153"/>
      <c r="BA104" s="112">
        <f t="shared" si="39"/>
        <v>0</v>
      </c>
      <c r="BB104" s="63" t="s">
        <v>369</v>
      </c>
    </row>
    <row r="105" spans="1:55" x14ac:dyDescent="0.25">
      <c r="A105" s="63" t="str">
        <f t="shared" si="32"/>
        <v>CV7HGN</v>
      </c>
      <c r="B105" s="63" t="str">
        <f t="shared" si="41"/>
        <v>TFHCV7HGN-N</v>
      </c>
      <c r="C105" s="63" t="s">
        <v>334</v>
      </c>
      <c r="D105" s="63" t="str">
        <f t="shared" si="62"/>
        <v>TFHCV7</v>
      </c>
      <c r="E105" s="65" t="s">
        <v>374</v>
      </c>
      <c r="F105" s="144">
        <f t="shared" si="63"/>
        <v>0.16</v>
      </c>
      <c r="G105" s="71">
        <f t="shared" si="64"/>
        <v>64512.330335483297</v>
      </c>
      <c r="H105" s="71">
        <f t="shared" si="64"/>
        <v>64512.330335483297</v>
      </c>
      <c r="I105" s="71">
        <f t="shared" si="64"/>
        <v>28987.258562430718</v>
      </c>
      <c r="J105" s="71">
        <f t="shared" si="64"/>
        <v>5852.4265699655216</v>
      </c>
      <c r="K105" s="71">
        <f t="shared" si="64"/>
        <v>48.163990293780166</v>
      </c>
      <c r="L105" s="71">
        <f t="shared" si="64"/>
        <v>1.6157218754222567E-2</v>
      </c>
      <c r="M105" s="71">
        <f t="shared" si="64"/>
        <v>1</v>
      </c>
      <c r="N105" s="71">
        <f t="shared" si="56"/>
        <v>0.44932896411722156</v>
      </c>
      <c r="O105" s="71">
        <f t="shared" si="56"/>
        <v>9.0717953289412484E-2</v>
      </c>
      <c r="P105" s="71">
        <f t="shared" si="56"/>
        <v>7.4658580837667931E-4</v>
      </c>
      <c r="Q105" s="71">
        <f t="shared" si="56"/>
        <v>2.5045163723276199E-7</v>
      </c>
      <c r="R105" s="71">
        <f t="shared" si="56"/>
        <v>1.5500912690639181E-5</v>
      </c>
      <c r="S105" s="183"/>
      <c r="T105" s="71"/>
      <c r="U105" s="71"/>
      <c r="V105" s="71"/>
      <c r="W105" s="71"/>
      <c r="X105" s="185"/>
      <c r="Y105" s="71"/>
      <c r="Z105" s="147" t="e">
        <f t="shared" si="57"/>
        <v>#REF!</v>
      </c>
      <c r="AA105" s="147" t="e">
        <f>1/SUMIFS(#REF!,#REF!,Analytica!$C105,#REF!,RIGHT(Analytica!$D105,3))</f>
        <v>#REF!</v>
      </c>
      <c r="AB105" s="147" t="e">
        <f>1/SUMIFS(#REF!,#REF!,Analytica!$C105,#REF!,RIGHT(Analytica!$D105,3))</f>
        <v>#REF!</v>
      </c>
      <c r="AC105" s="147" t="e">
        <f>1/SUMIFS(#REF!,#REF!,Analytica!$C105,#REF!,RIGHT(Analytica!$D105,3))</f>
        <v>#REF!</v>
      </c>
      <c r="AD105" s="147" t="e">
        <f>1/SUMIFS(#REF!,#REF!,Analytica!$C105,#REF!,RIGHT(Analytica!$D105,3))</f>
        <v>#REF!</v>
      </c>
      <c r="AE105" s="147" t="e">
        <f>1/SUMIFS(#REF!,#REF!,Analytica!$C105,#REF!,RIGHT(Analytica!$D105,3))</f>
        <v>#REF!</v>
      </c>
      <c r="AF105" s="147"/>
      <c r="AG105" s="71"/>
      <c r="AH105" s="71"/>
      <c r="AI105" s="71"/>
      <c r="AJ105" s="71"/>
      <c r="AK105" s="149"/>
      <c r="AL105" s="149"/>
      <c r="AM105" s="149"/>
      <c r="AN105" s="149"/>
      <c r="AO105" s="149"/>
      <c r="AP105" s="149"/>
      <c r="AQ105" s="149"/>
      <c r="AR105" s="152"/>
      <c r="AS105" s="150"/>
      <c r="AT105" s="151"/>
      <c r="AU105" s="152"/>
      <c r="AV105" s="152"/>
      <c r="AW105" s="152"/>
      <c r="AX105" s="152"/>
      <c r="AY105" s="153"/>
      <c r="BA105" s="112">
        <f t="shared" si="39"/>
        <v>0</v>
      </c>
      <c r="BB105" s="63" t="s">
        <v>369</v>
      </c>
    </row>
    <row r="106" spans="1:55" x14ac:dyDescent="0.25">
      <c r="A106" s="63" t="str">
        <f t="shared" si="32"/>
        <v>CV8HGN</v>
      </c>
      <c r="B106" s="63" t="str">
        <f t="shared" si="41"/>
        <v>TFHCV8HGN-N</v>
      </c>
      <c r="C106" s="63" t="s">
        <v>334</v>
      </c>
      <c r="D106" s="63" t="str">
        <f t="shared" si="62"/>
        <v>TFHCV8</v>
      </c>
      <c r="E106" s="65" t="s">
        <v>375</v>
      </c>
      <c r="F106" s="144">
        <f t="shared" si="63"/>
        <v>0.16</v>
      </c>
      <c r="G106" s="71">
        <f t="shared" si="64"/>
        <v>92421.691229504097</v>
      </c>
      <c r="H106" s="71">
        <f t="shared" si="64"/>
        <v>92421.691229504097</v>
      </c>
      <c r="I106" s="71">
        <f t="shared" si="64"/>
        <v>41527.742782114779</v>
      </c>
      <c r="J106" s="71">
        <f t="shared" si="64"/>
        <v>8384.3066678866562</v>
      </c>
      <c r="K106" s="71">
        <f t="shared" si="64"/>
        <v>69.000723058119178</v>
      </c>
      <c r="L106" s="71">
        <f t="shared" si="64"/>
        <v>2.3147163884250102E-2</v>
      </c>
      <c r="M106" s="71">
        <f t="shared" si="64"/>
        <v>1</v>
      </c>
      <c r="N106" s="71">
        <f t="shared" si="56"/>
        <v>0.44932896411722156</v>
      </c>
      <c r="O106" s="71">
        <f t="shared" si="56"/>
        <v>9.0717953289412484E-2</v>
      </c>
      <c r="P106" s="71">
        <f t="shared" si="56"/>
        <v>7.4658580837667942E-4</v>
      </c>
      <c r="Q106" s="71">
        <f t="shared" si="56"/>
        <v>2.5045163723276199E-7</v>
      </c>
      <c r="R106" s="71">
        <f t="shared" si="56"/>
        <v>1.0819970795781829E-5</v>
      </c>
      <c r="S106" s="183"/>
      <c r="T106" s="71"/>
      <c r="U106" s="71"/>
      <c r="V106" s="71"/>
      <c r="W106" s="71"/>
      <c r="X106" s="185"/>
      <c r="Y106" s="71"/>
      <c r="Z106" s="147" t="e">
        <f t="shared" si="57"/>
        <v>#REF!</v>
      </c>
      <c r="AA106" s="147" t="e">
        <f>1/SUMIFS(#REF!,#REF!,Analytica!$C106,#REF!,RIGHT(Analytica!$D106,3))</f>
        <v>#REF!</v>
      </c>
      <c r="AB106" s="147" t="e">
        <f>1/SUMIFS(#REF!,#REF!,Analytica!$C106,#REF!,RIGHT(Analytica!$D106,3))</f>
        <v>#REF!</v>
      </c>
      <c r="AC106" s="147" t="e">
        <f>1/SUMIFS(#REF!,#REF!,Analytica!$C106,#REF!,RIGHT(Analytica!$D106,3))</f>
        <v>#REF!</v>
      </c>
      <c r="AD106" s="147" t="e">
        <f>1/SUMIFS(#REF!,#REF!,Analytica!$C106,#REF!,RIGHT(Analytica!$D106,3))</f>
        <v>#REF!</v>
      </c>
      <c r="AE106" s="147" t="e">
        <f>1/SUMIFS(#REF!,#REF!,Analytica!$C106,#REF!,RIGHT(Analytica!$D106,3))</f>
        <v>#REF!</v>
      </c>
      <c r="AF106" s="147"/>
      <c r="AG106" s="71"/>
      <c r="AH106" s="71"/>
      <c r="AI106" s="71"/>
      <c r="AJ106" s="71"/>
      <c r="AK106" s="149"/>
      <c r="AL106" s="149"/>
      <c r="AM106" s="149"/>
      <c r="AN106" s="149"/>
      <c r="AO106" s="149"/>
      <c r="AP106" s="149"/>
      <c r="AQ106" s="149"/>
      <c r="AR106" s="152"/>
      <c r="AS106" s="150"/>
      <c r="AT106" s="151"/>
      <c r="AU106" s="152"/>
      <c r="AV106" s="152"/>
      <c r="AW106" s="152"/>
      <c r="AX106" s="152"/>
      <c r="AY106" s="153"/>
      <c r="BA106" s="112">
        <f t="shared" si="39"/>
        <v>0</v>
      </c>
      <c r="BB106" s="63" t="s">
        <v>369</v>
      </c>
    </row>
    <row r="107" spans="1:55" ht="15.6" customHeight="1" x14ac:dyDescent="0.25">
      <c r="A107" s="63" t="str">
        <f t="shared" si="32"/>
        <v>CV9HGN</v>
      </c>
      <c r="B107" s="63" t="str">
        <f t="shared" si="41"/>
        <v>TFHCV9HGN-N</v>
      </c>
      <c r="C107" s="63" t="s">
        <v>334</v>
      </c>
      <c r="D107" s="63" t="str">
        <f t="shared" si="62"/>
        <v>TFHCV9</v>
      </c>
      <c r="E107" s="65" t="s">
        <v>376</v>
      </c>
      <c r="F107" s="144">
        <f t="shared" si="63"/>
        <v>0.18</v>
      </c>
      <c r="G107" s="71">
        <f t="shared" si="64"/>
        <v>116959.183879244</v>
      </c>
      <c r="H107" s="71">
        <f t="shared" si="64"/>
        <v>116959.183879244</v>
      </c>
      <c r="I107" s="71">
        <f t="shared" si="64"/>
        <v>47552.055593322402</v>
      </c>
      <c r="J107" s="71">
        <f t="shared" si="64"/>
        <v>7860.3019222272696</v>
      </c>
      <c r="K107" s="71">
        <f t="shared" si="64"/>
        <v>35.501689865113427</v>
      </c>
      <c r="L107" s="71">
        <f t="shared" si="64"/>
        <v>4.3812565909997049E-3</v>
      </c>
      <c r="M107" s="71">
        <f t="shared" si="64"/>
        <v>1</v>
      </c>
      <c r="N107" s="71">
        <f t="shared" si="56"/>
        <v>0.40656965974059917</v>
      </c>
      <c r="O107" s="71">
        <f t="shared" si="56"/>
        <v>6.7205512739749784E-2</v>
      </c>
      <c r="P107" s="71">
        <f t="shared" si="56"/>
        <v>3.0353913807886688E-4</v>
      </c>
      <c r="Q107" s="71">
        <f t="shared" si="56"/>
        <v>3.7459705562952537E-8</v>
      </c>
      <c r="R107" s="71">
        <f t="shared" si="56"/>
        <v>8.5499912604764987E-6</v>
      </c>
      <c r="S107" s="186" t="s">
        <v>359</v>
      </c>
      <c r="T107" s="187"/>
      <c r="U107" s="187"/>
      <c r="V107" s="187"/>
      <c r="W107" s="187"/>
      <c r="X107" s="188" t="s">
        <v>359</v>
      </c>
      <c r="Y107" s="71"/>
      <c r="Z107" s="147" t="e">
        <f t="shared" si="57"/>
        <v>#REF!</v>
      </c>
      <c r="AA107" s="147" t="e">
        <f>1/SUMIFS(#REF!,#REF!,Analytica!$C107,#REF!,RIGHT(Analytica!$D107,3))</f>
        <v>#REF!</v>
      </c>
      <c r="AB107" s="147" t="e">
        <f>1/SUMIFS(#REF!,#REF!,Analytica!$C107,#REF!,RIGHT(Analytica!$D107,3))</f>
        <v>#REF!</v>
      </c>
      <c r="AC107" s="147" t="e">
        <f>1/SUMIFS(#REF!,#REF!,Analytica!$C107,#REF!,RIGHT(Analytica!$D107,3))</f>
        <v>#REF!</v>
      </c>
      <c r="AD107" s="147" t="e">
        <f>1/SUMIFS(#REF!,#REF!,Analytica!$C107,#REF!,RIGHT(Analytica!$D107,3))</f>
        <v>#REF!</v>
      </c>
      <c r="AE107" s="147" t="e">
        <f>1/SUMIFS(#REF!,#REF!,Analytica!$C107,#REF!,RIGHT(Analytica!$D107,3))</f>
        <v>#REF!</v>
      </c>
      <c r="AF107" s="147"/>
      <c r="AG107" s="71"/>
      <c r="AH107" s="71"/>
      <c r="AI107" s="71"/>
      <c r="AJ107" s="71"/>
      <c r="AK107" s="149"/>
      <c r="AL107" s="149"/>
      <c r="AM107" s="149"/>
      <c r="AN107" s="149"/>
      <c r="AO107" s="149"/>
      <c r="AP107" s="149"/>
      <c r="AQ107" s="149"/>
      <c r="AR107" s="152"/>
      <c r="AS107" s="150"/>
      <c r="AT107" s="151"/>
      <c r="AU107" s="152"/>
      <c r="AV107" s="152"/>
      <c r="AW107" s="152"/>
      <c r="AX107" s="152"/>
      <c r="AY107" s="153"/>
      <c r="BA107" s="112">
        <f t="shared" si="39"/>
        <v>0</v>
      </c>
      <c r="BB107" s="63" t="s">
        <v>369</v>
      </c>
    </row>
    <row r="108" spans="1:55" x14ac:dyDescent="0.25">
      <c r="A108" s="63" t="str">
        <f t="shared" si="32"/>
        <v>LCVODS</v>
      </c>
      <c r="B108" s="63" t="str">
        <f t="shared" si="41"/>
        <v>TFLCVODS-N</v>
      </c>
      <c r="C108" s="63" t="s">
        <v>234</v>
      </c>
      <c r="D108" s="63" t="s">
        <v>276</v>
      </c>
      <c r="E108" s="63" t="s">
        <v>277</v>
      </c>
      <c r="F108" s="144">
        <f>INDEX($F$17:$F$49,MATCH($E108,$E$17:$E$49,0))</f>
        <v>0.04</v>
      </c>
      <c r="G108" s="145">
        <f>G33</f>
        <v>24753.4936084117</v>
      </c>
      <c r="H108" s="145">
        <f t="shared" ref="H108:L123" si="65">(EXP(-((H$58)*$F108))*G108)</f>
        <v>24753.4936084117</v>
      </c>
      <c r="I108" s="145">
        <f t="shared" si="65"/>
        <v>20266.446463325919</v>
      </c>
      <c r="J108" s="145">
        <f t="shared" si="65"/>
        <v>13585.00532627545</v>
      </c>
      <c r="K108" s="145">
        <f t="shared" si="65"/>
        <v>4091.7249730706026</v>
      </c>
      <c r="L108" s="145">
        <f t="shared" si="65"/>
        <v>553.75475815683149</v>
      </c>
      <c r="M108" s="145">
        <f t="shared" ref="M108:M130" si="66">H108/$G108</f>
        <v>1</v>
      </c>
      <c r="N108" s="145">
        <f t="shared" si="56"/>
        <v>0.81873075307798182</v>
      </c>
      <c r="O108" s="145">
        <f t="shared" si="56"/>
        <v>0.54881163609402639</v>
      </c>
      <c r="P108" s="145">
        <f t="shared" si="56"/>
        <v>0.16529888822158656</v>
      </c>
      <c r="Q108" s="145">
        <f t="shared" si="56"/>
        <v>2.2370771856165598E-2</v>
      </c>
      <c r="R108" s="145">
        <f t="shared" si="56"/>
        <v>4.0398337940474847E-5</v>
      </c>
      <c r="S108" s="171">
        <f>S122/S124*S110</f>
        <v>11.966666666666667</v>
      </c>
      <c r="T108" s="148">
        <f>W33</f>
        <v>11.124053535325499</v>
      </c>
      <c r="U108" s="145">
        <f t="shared" ref="U108:X113" si="67">T108/((1+U$53)^(U$58-T$58))</f>
        <v>10.478584785756766</v>
      </c>
      <c r="V108" s="145">
        <f t="shared" si="67"/>
        <v>9.7241597219628435</v>
      </c>
      <c r="W108" s="145">
        <f t="shared" si="67"/>
        <v>9.0240508839300659</v>
      </c>
      <c r="X108" s="145">
        <f t="shared" si="67"/>
        <v>8.3743476746720358</v>
      </c>
      <c r="Y108" s="71"/>
      <c r="Z108" s="147">
        <f>SUMIF($AC$56:$AC$57,$C108,$AD$56:$AD$57)/S108</f>
        <v>0.21292916829156933</v>
      </c>
      <c r="AA108" s="147" t="e">
        <f>1/SUMIFS(#REF!,#REF!,Analytica!$C108,#REF!,RIGHT(Analytica!$D108,3))</f>
        <v>#REF!</v>
      </c>
      <c r="AB108" s="147" t="e">
        <f>1/SUMIFS(#REF!,#REF!,Analytica!$C108,#REF!,RIGHT(Analytica!$D108,3))</f>
        <v>#REF!</v>
      </c>
      <c r="AC108" s="147" t="e">
        <f>1/SUMIFS(#REF!,#REF!,Analytica!$C108,#REF!,RIGHT(Analytica!$D108,3))</f>
        <v>#REF!</v>
      </c>
      <c r="AD108" s="147" t="e">
        <f>1/SUMIFS(#REF!,#REF!,Analytica!$C108,#REF!,RIGHT(Analytica!$D108,3))</f>
        <v>#REF!</v>
      </c>
      <c r="AE108" s="147" t="e">
        <f>1/SUMIFS(#REF!,#REF!,Analytica!$C108,#REF!,RIGHT(Analytica!$D108,3))</f>
        <v>#REF!</v>
      </c>
      <c r="AF108" s="147"/>
      <c r="AG108" s="71"/>
      <c r="AH108" s="189">
        <f>AH122/AH124*AH110</f>
        <v>64.352048125819607</v>
      </c>
      <c r="AI108" s="189">
        <v>285.80088368995087</v>
      </c>
      <c r="AJ108" s="148"/>
      <c r="AK108" s="149"/>
      <c r="AL108" s="149"/>
      <c r="AM108" s="149"/>
      <c r="AN108" s="149"/>
      <c r="AO108" s="149"/>
      <c r="AP108" s="149"/>
      <c r="AQ108" s="149"/>
      <c r="AR108" s="152"/>
      <c r="AS108" s="150"/>
      <c r="AT108" s="151"/>
      <c r="AU108" s="152"/>
      <c r="AV108" s="152"/>
      <c r="AW108" s="152"/>
      <c r="AX108" s="152"/>
      <c r="AY108" s="153"/>
      <c r="BA108" s="154">
        <f t="shared" si="39"/>
        <v>0.74392467269385154</v>
      </c>
      <c r="BC108" s="90"/>
    </row>
    <row r="109" spans="1:55" x14ac:dyDescent="0.25">
      <c r="A109" s="63" t="str">
        <f t="shared" si="32"/>
        <v>LCVODSH</v>
      </c>
      <c r="B109" s="63" t="str">
        <f t="shared" si="41"/>
        <v>TFLCVODSH-N</v>
      </c>
      <c r="C109" s="63" t="s">
        <v>340</v>
      </c>
      <c r="D109" s="63" t="s">
        <v>276</v>
      </c>
      <c r="E109" s="63" t="s">
        <v>377</v>
      </c>
      <c r="F109" s="144">
        <f>F108</f>
        <v>0.04</v>
      </c>
      <c r="G109" s="145">
        <f>$G$38/$G$39 * G108</f>
        <v>27649.267007664359</v>
      </c>
      <c r="H109" s="145">
        <f t="shared" si="65"/>
        <v>27649.267007664359</v>
      </c>
      <c r="I109" s="145">
        <f t="shared" si="65"/>
        <v>22637.305199239239</v>
      </c>
      <c r="J109" s="145">
        <f t="shared" si="65"/>
        <v>15174.239463276865</v>
      </c>
      <c r="K109" s="145">
        <f t="shared" si="65"/>
        <v>4570.393096508712</v>
      </c>
      <c r="L109" s="145">
        <f t="shared" si="65"/>
        <v>618.53544421866593</v>
      </c>
      <c r="M109" s="145">
        <f t="shared" si="66"/>
        <v>1</v>
      </c>
      <c r="N109" s="145">
        <f t="shared" si="56"/>
        <v>0.81873075307798193</v>
      </c>
      <c r="O109" s="145">
        <f t="shared" si="56"/>
        <v>0.5488116360940265</v>
      </c>
      <c r="P109" s="145">
        <f t="shared" si="56"/>
        <v>0.16529888822158656</v>
      </c>
      <c r="Q109" s="145">
        <f t="shared" si="56"/>
        <v>2.2370771856165601E-2</v>
      </c>
      <c r="R109" s="145">
        <f t="shared" si="56"/>
        <v>3.6167324064062912E-5</v>
      </c>
      <c r="S109" s="171">
        <f>S123/S125*S112</f>
        <v>15.751426694738184</v>
      </c>
      <c r="T109" s="148">
        <f>W34</f>
        <v>14.176565003733501</v>
      </c>
      <c r="U109" s="145">
        <f t="shared" si="67"/>
        <v>13.353975499189914</v>
      </c>
      <c r="V109" s="145">
        <f t="shared" si="67"/>
        <v>12.392531370630406</v>
      </c>
      <c r="W109" s="145">
        <f t="shared" si="67"/>
        <v>11.500308187728439</v>
      </c>
      <c r="X109" s="145">
        <f t="shared" si="67"/>
        <v>10.67232226066222</v>
      </c>
      <c r="Y109" s="71"/>
      <c r="Z109" s="147" t="e">
        <f>AA109/AA108 *Z108</f>
        <v>#REF!</v>
      </c>
      <c r="AA109" s="147" t="e">
        <f>1/SUMIFS(#REF!,#REF!,Analytica!$C109,#REF!,RIGHT(Analytica!$D109,3))</f>
        <v>#REF!</v>
      </c>
      <c r="AB109" s="147" t="e">
        <f>1/SUMIFS(#REF!,#REF!,Analytica!$C109,#REF!,RIGHT(Analytica!$D109,3))</f>
        <v>#REF!</v>
      </c>
      <c r="AC109" s="147" t="e">
        <f>1/SUMIFS(#REF!,#REF!,Analytica!$C109,#REF!,RIGHT(Analytica!$D109,3))</f>
        <v>#REF!</v>
      </c>
      <c r="AD109" s="147" t="e">
        <f>1/SUMIFS(#REF!,#REF!,Analytica!$C109,#REF!,RIGHT(Analytica!$D109,3))</f>
        <v>#REF!</v>
      </c>
      <c r="AE109" s="147" t="e">
        <f>1/SUMIFS(#REF!,#REF!,Analytica!$C109,#REF!,RIGHT(Analytica!$D109,3))</f>
        <v>#REF!</v>
      </c>
      <c r="AF109" s="147"/>
      <c r="AG109" s="71"/>
      <c r="AH109" s="189">
        <f>AH123/AH124*AH112</f>
        <v>156.3771639383817</v>
      </c>
      <c r="AI109" s="189">
        <v>286.80088368995098</v>
      </c>
      <c r="AJ109" s="148"/>
      <c r="AK109" s="149"/>
      <c r="AL109" s="149"/>
      <c r="AM109" s="149"/>
      <c r="AN109" s="149"/>
      <c r="AO109" s="149"/>
      <c r="AP109" s="149"/>
      <c r="AQ109" s="149"/>
      <c r="AR109" s="152"/>
      <c r="AS109" s="150"/>
      <c r="AT109" s="151"/>
      <c r="AU109" s="152"/>
      <c r="AV109" s="152"/>
      <c r="AW109" s="152"/>
      <c r="AX109" s="152"/>
      <c r="AY109" s="153"/>
      <c r="BA109" s="154">
        <f t="shared" si="39"/>
        <v>0</v>
      </c>
      <c r="BC109" s="90"/>
    </row>
    <row r="110" spans="1:55" x14ac:dyDescent="0.25">
      <c r="A110" s="63" t="str">
        <f t="shared" si="32"/>
        <v>LCVOGS</v>
      </c>
      <c r="B110" s="63" t="str">
        <f t="shared" si="41"/>
        <v>TFLCVOGS-N</v>
      </c>
      <c r="C110" s="63" t="s">
        <v>241</v>
      </c>
      <c r="D110" s="63" t="s">
        <v>276</v>
      </c>
      <c r="E110" s="63" t="s">
        <v>278</v>
      </c>
      <c r="F110" s="144">
        <f>INDEX($F$17:$F$49,MATCH($E110,$E$17:$E$49,0))</f>
        <v>3.4999999999999996E-2</v>
      </c>
      <c r="G110" s="145">
        <f>G34</f>
        <v>16984.001252855</v>
      </c>
      <c r="H110" s="145">
        <f t="shared" si="65"/>
        <v>16984.001252855</v>
      </c>
      <c r="I110" s="145">
        <f t="shared" si="65"/>
        <v>14257.339092462144</v>
      </c>
      <c r="J110" s="145">
        <f t="shared" si="65"/>
        <v>10046.977049539084</v>
      </c>
      <c r="K110" s="145">
        <f t="shared" si="65"/>
        <v>3515.8165340871446</v>
      </c>
      <c r="L110" s="145">
        <f t="shared" si="65"/>
        <v>610.95730357659954</v>
      </c>
      <c r="M110" s="145">
        <f t="shared" si="66"/>
        <v>1</v>
      </c>
      <c r="N110" s="145">
        <f t="shared" si="56"/>
        <v>0.83945702076920736</v>
      </c>
      <c r="O110" s="145">
        <f t="shared" si="56"/>
        <v>0.59155536436681511</v>
      </c>
      <c r="P110" s="145">
        <f t="shared" si="56"/>
        <v>0.2070075526811527</v>
      </c>
      <c r="Q110" s="145">
        <f t="shared" si="56"/>
        <v>3.5972518753429675E-2</v>
      </c>
      <c r="R110" s="145">
        <f t="shared" si="56"/>
        <v>5.8878940545997701E-5</v>
      </c>
      <c r="S110" s="71">
        <v>14.36</v>
      </c>
      <c r="T110" s="148">
        <f>W34</f>
        <v>14.176565003733501</v>
      </c>
      <c r="U110" s="145">
        <f t="shared" si="67"/>
        <v>13.353975499189914</v>
      </c>
      <c r="V110" s="145">
        <f t="shared" si="67"/>
        <v>12.392531370630406</v>
      </c>
      <c r="W110" s="145">
        <f t="shared" si="67"/>
        <v>11.500308187728439</v>
      </c>
      <c r="X110" s="145">
        <f t="shared" si="67"/>
        <v>10.67232226066222</v>
      </c>
      <c r="Y110" s="71"/>
      <c r="Z110" s="147">
        <f>SUMIF($AC$56:$AC$57,$C110,$AD$56:$AD$57)/S110</f>
        <v>0.20361954096010662</v>
      </c>
      <c r="AA110" s="147" t="e">
        <f>1/SUMIFS(#REF!,#REF!,Analytica!$C110,#REF!,RIGHT(Analytica!$D110,3))</f>
        <v>#REF!</v>
      </c>
      <c r="AB110" s="147" t="e">
        <f>1/SUMIFS(#REF!,#REF!,Analytica!$C110,#REF!,RIGHT(Analytica!$D110,3))</f>
        <v>#REF!</v>
      </c>
      <c r="AC110" s="147" t="e">
        <f>1/SUMIFS(#REF!,#REF!,Analytica!$C110,#REF!,RIGHT(Analytica!$D110,3))</f>
        <v>#REF!</v>
      </c>
      <c r="AD110" s="147" t="e">
        <f>1/SUMIFS(#REF!,#REF!,Analytica!$C110,#REF!,RIGHT(Analytica!$D110,3))</f>
        <v>#REF!</v>
      </c>
      <c r="AE110" s="147" t="e">
        <f>1/SUMIFS(#REF!,#REF!,Analytica!$C110,#REF!,RIGHT(Analytica!$D110,3))</f>
        <v>#REF!</v>
      </c>
      <c r="AF110" s="147"/>
      <c r="AG110" s="71"/>
      <c r="AH110" s="148">
        <v>62.089100000000002</v>
      </c>
      <c r="AI110" s="148">
        <v>183.51728669017189</v>
      </c>
      <c r="AJ110" s="148"/>
      <c r="AK110" s="149"/>
      <c r="AL110" s="149"/>
      <c r="AM110" s="149"/>
      <c r="AN110" s="149"/>
      <c r="AO110" s="149"/>
      <c r="AP110" s="149"/>
      <c r="AQ110" s="149"/>
      <c r="AR110" s="152"/>
      <c r="AS110" s="150"/>
      <c r="AT110" s="151"/>
      <c r="AU110" s="152"/>
      <c r="AV110" s="152"/>
      <c r="AW110" s="152"/>
      <c r="AX110" s="152"/>
      <c r="AY110" s="153"/>
      <c r="BA110" s="154">
        <f t="shared" si="39"/>
        <v>0.25607532730614846</v>
      </c>
      <c r="BB110" s="63" t="s">
        <v>71</v>
      </c>
      <c r="BC110" s="90">
        <f>AJ110*1000</f>
        <v>0</v>
      </c>
    </row>
    <row r="111" spans="1:55" x14ac:dyDescent="0.25">
      <c r="A111" s="63" t="str">
        <f t="shared" si="32"/>
        <v>LCVOGSH</v>
      </c>
      <c r="B111" s="63" t="str">
        <f t="shared" si="41"/>
        <v>TFLCVOGSH-N</v>
      </c>
      <c r="C111" s="63" t="s">
        <v>342</v>
      </c>
      <c r="D111" s="63" t="s">
        <v>276</v>
      </c>
      <c r="E111" s="63" t="s">
        <v>378</v>
      </c>
      <c r="F111" s="144">
        <f>F110</f>
        <v>3.4999999999999996E-2</v>
      </c>
      <c r="G111" s="145">
        <f>$G$38/$G$39 * G110</f>
        <v>18970.86499899621</v>
      </c>
      <c r="H111" s="145">
        <f t="shared" si="65"/>
        <v>18970.86499899621</v>
      </c>
      <c r="I111" s="145">
        <f t="shared" si="65"/>
        <v>15925.225813472191</v>
      </c>
      <c r="J111" s="145">
        <f t="shared" si="65"/>
        <v>11222.316956834862</v>
      </c>
      <c r="K111" s="145">
        <f t="shared" si="65"/>
        <v>3927.1123356867433</v>
      </c>
      <c r="L111" s="145">
        <f t="shared" si="65"/>
        <v>682.42979694517373</v>
      </c>
      <c r="M111" s="145">
        <f t="shared" si="66"/>
        <v>1</v>
      </c>
      <c r="N111" s="145">
        <f t="shared" si="56"/>
        <v>0.83945702076920736</v>
      </c>
      <c r="O111" s="145">
        <f t="shared" si="56"/>
        <v>0.59155536436681511</v>
      </c>
      <c r="P111" s="145">
        <f t="shared" si="56"/>
        <v>0.20700755268115267</v>
      </c>
      <c r="Q111" s="145">
        <f t="shared" si="56"/>
        <v>3.5972518753429668E-2</v>
      </c>
      <c r="R111" s="145">
        <f t="shared" si="56"/>
        <v>5.2712409268260151E-5</v>
      </c>
      <c r="S111" s="71">
        <v>15.36</v>
      </c>
      <c r="T111" s="148">
        <f>W35</f>
        <v>11.0775109229247</v>
      </c>
      <c r="U111" s="145">
        <f t="shared" si="67"/>
        <v>10.434742789793365</v>
      </c>
      <c r="V111" s="145">
        <f t="shared" si="67"/>
        <v>9.6834742114674519</v>
      </c>
      <c r="W111" s="145">
        <f t="shared" si="67"/>
        <v>8.9862946019019283</v>
      </c>
      <c r="X111" s="145">
        <f t="shared" si="67"/>
        <v>8.3393097258978717</v>
      </c>
      <c r="Y111" s="71"/>
      <c r="Z111" s="147" t="e">
        <f>AA111/AA110*Z110</f>
        <v>#REF!</v>
      </c>
      <c r="AA111" s="147" t="e">
        <f>1/SUMIFS(#REF!,#REF!,Analytica!$C111,#REF!,RIGHT(Analytica!$D111,3))</f>
        <v>#REF!</v>
      </c>
      <c r="AB111" s="147" t="e">
        <f>1/SUMIFS(#REF!,#REF!,Analytica!$C111,#REF!,RIGHT(Analytica!$D111,3))</f>
        <v>#REF!</v>
      </c>
      <c r="AC111" s="147" t="e">
        <f>1/SUMIFS(#REF!,#REF!,Analytica!$C111,#REF!,RIGHT(Analytica!$D111,3))</f>
        <v>#REF!</v>
      </c>
      <c r="AD111" s="147" t="e">
        <f>1/SUMIFS(#REF!,#REF!,Analytica!$C111,#REF!,RIGHT(Analytica!$D111,3))</f>
        <v>#REF!</v>
      </c>
      <c r="AE111" s="147" t="e">
        <f>1/SUMIFS(#REF!,#REF!,Analytica!$C111,#REF!,RIGHT(Analytica!$D111,3))</f>
        <v>#REF!</v>
      </c>
      <c r="AF111" s="147"/>
      <c r="AG111" s="71"/>
      <c r="AH111" s="148">
        <v>62.089100000000002</v>
      </c>
      <c r="AI111" s="148">
        <v>183.51728669017189</v>
      </c>
      <c r="AJ111" s="148"/>
      <c r="AK111" s="149"/>
      <c r="AL111" s="149"/>
      <c r="AM111" s="149"/>
      <c r="AN111" s="149"/>
      <c r="AO111" s="149"/>
      <c r="AP111" s="149"/>
      <c r="AQ111" s="149"/>
      <c r="AR111" s="152"/>
      <c r="AS111" s="150"/>
      <c r="AT111" s="151"/>
      <c r="AU111" s="152"/>
      <c r="AV111" s="152"/>
      <c r="AW111" s="152"/>
      <c r="AX111" s="152"/>
      <c r="AY111" s="153"/>
      <c r="BA111" s="154">
        <f t="shared" si="39"/>
        <v>0</v>
      </c>
      <c r="BB111" s="63" t="s">
        <v>71</v>
      </c>
      <c r="BC111" s="90">
        <f>AJ111*1000</f>
        <v>0</v>
      </c>
    </row>
    <row r="112" spans="1:55" x14ac:dyDescent="0.25">
      <c r="A112" s="63" t="str">
        <f t="shared" si="32"/>
        <v>LCVGAS</v>
      </c>
      <c r="B112" s="63" t="str">
        <f t="shared" si="41"/>
        <v>TFLCVGAS-N</v>
      </c>
      <c r="C112" s="63" t="s">
        <v>294</v>
      </c>
      <c r="D112" s="63" t="s">
        <v>276</v>
      </c>
      <c r="E112" s="63" t="s">
        <v>379</v>
      </c>
      <c r="F112" s="144">
        <f>F110</f>
        <v>3.4999999999999996E-2</v>
      </c>
      <c r="G112" s="145">
        <f>G110</f>
        <v>16984.001252855</v>
      </c>
      <c r="H112" s="145">
        <f t="shared" si="65"/>
        <v>16984.001252855</v>
      </c>
      <c r="I112" s="145">
        <f t="shared" si="65"/>
        <v>14257.339092462144</v>
      </c>
      <c r="J112" s="145">
        <f t="shared" si="65"/>
        <v>10046.977049539084</v>
      </c>
      <c r="K112" s="145">
        <f t="shared" si="65"/>
        <v>3515.8165340871446</v>
      </c>
      <c r="L112" s="145">
        <f t="shared" si="65"/>
        <v>610.95730357659954</v>
      </c>
      <c r="M112" s="145">
        <f t="shared" si="66"/>
        <v>1</v>
      </c>
      <c r="N112" s="145">
        <f t="shared" si="56"/>
        <v>0.83945702076920736</v>
      </c>
      <c r="O112" s="145">
        <f t="shared" si="56"/>
        <v>0.59155536436681511</v>
      </c>
      <c r="P112" s="145">
        <f t="shared" si="56"/>
        <v>0.2070075526811527</v>
      </c>
      <c r="Q112" s="145">
        <f t="shared" si="56"/>
        <v>3.5972518753429675E-2</v>
      </c>
      <c r="R112" s="145">
        <f t="shared" si="56"/>
        <v>5.8878940545997701E-5</v>
      </c>
      <c r="S112" s="71">
        <f>S110*(1+$AJ$55)</f>
        <v>16.513999999999999</v>
      </c>
      <c r="T112" s="71">
        <f>T110*(1+$AJ$55)</f>
        <v>16.303049754293525</v>
      </c>
      <c r="U112" s="145">
        <f t="shared" si="67"/>
        <v>15.357071824068401</v>
      </c>
      <c r="V112" s="145">
        <f t="shared" si="67"/>
        <v>14.251411076224967</v>
      </c>
      <c r="W112" s="145">
        <f t="shared" si="67"/>
        <v>13.225354415887704</v>
      </c>
      <c r="X112" s="145">
        <f t="shared" si="67"/>
        <v>12.273170599761553</v>
      </c>
      <c r="Y112" s="71"/>
      <c r="Z112" s="147" t="e">
        <f t="shared" ref="Z112:Z120" si="68">(AA112/AB112)*AA112</f>
        <v>#REF!</v>
      </c>
      <c r="AA112" s="147" t="e">
        <f>1/SUMIFS(#REF!,#REF!,Analytica!$C112,#REF!,RIGHT(Analytica!$D112,3))</f>
        <v>#REF!</v>
      </c>
      <c r="AB112" s="147" t="e">
        <f>1/SUMIFS(#REF!,#REF!,Analytica!$C112,#REF!,RIGHT(Analytica!$D112,3))</f>
        <v>#REF!</v>
      </c>
      <c r="AC112" s="147" t="e">
        <f>1/SUMIFS(#REF!,#REF!,Analytica!$C112,#REF!,RIGHT(Analytica!$D112,3))</f>
        <v>#REF!</v>
      </c>
      <c r="AD112" s="147" t="e">
        <f>1/SUMIFS(#REF!,#REF!,Analytica!$C112,#REF!,RIGHT(Analytica!$D112,3))</f>
        <v>#REF!</v>
      </c>
      <c r="AE112" s="147" t="e">
        <f>1/SUMIFS(#REF!,#REF!,Analytica!$C112,#REF!,RIGHT(Analytica!$D112,3))</f>
        <v>#REF!</v>
      </c>
      <c r="AF112" s="147"/>
      <c r="AG112" s="71"/>
      <c r="AH112" s="148">
        <f>AH110*(1+$AR$57)</f>
        <v>68.298010000000005</v>
      </c>
      <c r="AI112" s="148">
        <f>AI110*(1+$AR$57)</f>
        <v>201.86901535918909</v>
      </c>
      <c r="AJ112" s="148"/>
      <c r="AK112" s="149"/>
      <c r="AL112" s="149"/>
      <c r="AM112" s="149"/>
      <c r="AN112" s="149"/>
      <c r="AO112" s="149"/>
      <c r="AP112" s="149"/>
      <c r="AQ112" s="149"/>
      <c r="AR112" s="152"/>
      <c r="AS112" s="150"/>
      <c r="AT112" s="151"/>
      <c r="AU112" s="152"/>
      <c r="AV112" s="152"/>
      <c r="AW112" s="152"/>
      <c r="AX112" s="152"/>
      <c r="AY112" s="153"/>
      <c r="BA112" s="154">
        <f t="shared" si="39"/>
        <v>0</v>
      </c>
      <c r="BB112" s="63" t="s">
        <v>333</v>
      </c>
      <c r="BC112" s="90">
        <f>AJ112*1000</f>
        <v>0</v>
      </c>
    </row>
    <row r="113" spans="1:57" x14ac:dyDescent="0.25">
      <c r="A113" s="96" t="str">
        <f t="shared" si="32"/>
        <v>LCVELC</v>
      </c>
      <c r="B113" s="96" t="str">
        <f t="shared" si="41"/>
        <v>TFLCVELC-N</v>
      </c>
      <c r="C113" s="96" t="s">
        <v>250</v>
      </c>
      <c r="D113" s="96" t="s">
        <v>276</v>
      </c>
      <c r="E113" s="97" t="s">
        <v>380</v>
      </c>
      <c r="F113" s="180">
        <f>F110</f>
        <v>3.4999999999999996E-2</v>
      </c>
      <c r="G113" s="190">
        <f>G108</f>
        <v>24753.4936084117</v>
      </c>
      <c r="H113" s="190">
        <f t="shared" si="65"/>
        <v>24753.4936084117</v>
      </c>
      <c r="I113" s="190">
        <f t="shared" si="65"/>
        <v>20779.493998146903</v>
      </c>
      <c r="J113" s="190">
        <f t="shared" si="65"/>
        <v>14643.061930875612</v>
      </c>
      <c r="K113" s="190">
        <f t="shared" si="65"/>
        <v>5124.1601321858616</v>
      </c>
      <c r="L113" s="190">
        <f t="shared" si="65"/>
        <v>890.44551304149149</v>
      </c>
      <c r="M113" s="190">
        <f t="shared" si="66"/>
        <v>1</v>
      </c>
      <c r="N113" s="190">
        <f t="shared" si="56"/>
        <v>0.83945702076920736</v>
      </c>
      <c r="O113" s="190">
        <f t="shared" si="56"/>
        <v>0.59155536436681511</v>
      </c>
      <c r="P113" s="190">
        <f t="shared" si="56"/>
        <v>0.2070075526811527</v>
      </c>
      <c r="Q113" s="190">
        <f t="shared" si="56"/>
        <v>3.5972518753429675E-2</v>
      </c>
      <c r="R113" s="190">
        <f t="shared" si="56"/>
        <v>4.0398337940474847E-5</v>
      </c>
      <c r="S113" s="191">
        <v>23.5</v>
      </c>
      <c r="T113" s="96">
        <f>T112*(1+$AJ$55)</f>
        <v>18.748507217437552</v>
      </c>
      <c r="U113" s="190">
        <f t="shared" si="67"/>
        <v>17.66063259767866</v>
      </c>
      <c r="V113" s="190">
        <f t="shared" si="67"/>
        <v>16.38912273765871</v>
      </c>
      <c r="W113" s="190">
        <f t="shared" si="67"/>
        <v>15.209157578270858</v>
      </c>
      <c r="X113" s="190">
        <f t="shared" si="67"/>
        <v>14.114146189725783</v>
      </c>
      <c r="Y113" s="96"/>
      <c r="Z113" s="182" t="e">
        <f t="shared" si="68"/>
        <v>#REF!</v>
      </c>
      <c r="AA113" s="182" t="e">
        <f>1/SUMIFS(#REF!,#REF!,Analytica!$C113,#REF!,RIGHT(Analytica!$D113,3))</f>
        <v>#REF!</v>
      </c>
      <c r="AB113" s="182" t="e">
        <f>1/SUMIFS(#REF!,#REF!,Analytica!$C113,#REF!,RIGHT(Analytica!$D113,3))</f>
        <v>#REF!</v>
      </c>
      <c r="AC113" s="182" t="e">
        <f>1/SUMIFS(#REF!,#REF!,Analytica!$C113,#REF!,RIGHT(Analytica!$D113,3))</f>
        <v>#REF!</v>
      </c>
      <c r="AD113" s="182" t="e">
        <f>1/SUMIFS(#REF!,#REF!,Analytica!$C113,#REF!,RIGHT(Analytica!$D113,3))</f>
        <v>#REF!</v>
      </c>
      <c r="AE113" s="192" t="e">
        <f>1/SUMIFS(#REF!,#REF!,Analytica!$C113,#REF!,RIGHT(Analytica!$D113,3))</f>
        <v>#REF!</v>
      </c>
      <c r="AF113" s="193"/>
      <c r="AG113" s="194"/>
      <c r="AH113" s="194">
        <f>AH112*(1+$AR$57)</f>
        <v>75.127811000000008</v>
      </c>
      <c r="AI113" s="194">
        <f>AI112*(1+$AR$57)</f>
        <v>222.05591689510803</v>
      </c>
      <c r="AJ113" s="194"/>
      <c r="AK113" s="149"/>
      <c r="AL113" s="149"/>
      <c r="AM113" s="149"/>
      <c r="AN113" s="149"/>
      <c r="AO113" s="149"/>
      <c r="AP113" s="149"/>
      <c r="AQ113" s="149"/>
      <c r="AR113" s="152"/>
      <c r="AS113" s="150"/>
      <c r="AT113" s="151"/>
      <c r="AU113" s="152"/>
      <c r="AV113" s="152"/>
      <c r="AW113" s="152"/>
      <c r="AX113" s="152"/>
      <c r="AY113" s="153"/>
      <c r="BA113" s="154">
        <f t="shared" si="39"/>
        <v>0</v>
      </c>
      <c r="BB113" s="63" t="str">
        <f>C113</f>
        <v>ELC</v>
      </c>
      <c r="BC113" s="90">
        <f>AJ113*1000</f>
        <v>0</v>
      </c>
    </row>
    <row r="114" spans="1:57" x14ac:dyDescent="0.25">
      <c r="A114" s="63" t="str">
        <f t="shared" si="32"/>
        <v>MBTODS</v>
      </c>
      <c r="B114" s="63" t="str">
        <f>D114&amp;C114&amp;"H-N"</f>
        <v>TPPUMBTODSH-N</v>
      </c>
      <c r="C114" s="63" t="s">
        <v>234</v>
      </c>
      <c r="D114" s="63" t="s">
        <v>279</v>
      </c>
      <c r="E114" s="63" t="s">
        <v>381</v>
      </c>
      <c r="F114" s="144">
        <f>F115</f>
        <v>3.4999999999999996E-2</v>
      </c>
      <c r="G114" s="145">
        <f>G115</f>
        <v>30917.830131483901</v>
      </c>
      <c r="H114" s="145">
        <f t="shared" si="65"/>
        <v>30917.830131483901</v>
      </c>
      <c r="I114" s="145">
        <f t="shared" si="65"/>
        <v>25954.189570823906</v>
      </c>
      <c r="J114" s="145">
        <f t="shared" si="65"/>
        <v>18289.608268861255</v>
      </c>
      <c r="K114" s="145">
        <f t="shared" si="65"/>
        <v>6400.2243497300842</v>
      </c>
      <c r="L114" s="145">
        <f t="shared" si="65"/>
        <v>1112.1922242201579</v>
      </c>
      <c r="M114" s="145">
        <f t="shared" si="66"/>
        <v>1</v>
      </c>
      <c r="N114" s="145">
        <f t="shared" si="56"/>
        <v>0.83945702076920736</v>
      </c>
      <c r="O114" s="145">
        <f t="shared" si="56"/>
        <v>0.59155536436681511</v>
      </c>
      <c r="P114" s="145">
        <f t="shared" si="56"/>
        <v>0.2070075526811527</v>
      </c>
      <c r="Q114" s="145">
        <f t="shared" si="56"/>
        <v>3.5972518753429682E-2</v>
      </c>
      <c r="R114" s="145">
        <f t="shared" si="56"/>
        <v>3.2343796306122114E-5</v>
      </c>
      <c r="S114" s="71">
        <f>S115/1.3</f>
        <v>8.8076923076923066</v>
      </c>
      <c r="T114" s="145">
        <f>S114/((1+T$57)^(T$58-S$58))</f>
        <v>8.0550062340997179</v>
      </c>
      <c r="U114" s="145">
        <f>T114/((1+U$57)^(U$58-T$58))</f>
        <v>7.1505186362966207</v>
      </c>
      <c r="V114" s="145">
        <f>U114/((1+V$57)^(V$58-U$58))</f>
        <v>6.1613675987156</v>
      </c>
      <c r="W114" s="145">
        <f>V114/((1+W$57)^(W$58-V$58))</f>
        <v>5.3090485624080355</v>
      </c>
      <c r="X114" s="145">
        <f>W114/((1+X$57)^(X$58-W$58))</f>
        <v>4.5746331778487761</v>
      </c>
      <c r="Y114" s="71"/>
      <c r="Z114" s="147" t="e">
        <f t="shared" si="68"/>
        <v>#REF!</v>
      </c>
      <c r="AA114" s="147" t="e">
        <f>1/SUMIFS(#REF!,#REF!,Analytica!$C114,#REF!,RIGHT(Analytica!$D114,3))</f>
        <v>#REF!</v>
      </c>
      <c r="AB114" s="147" t="e">
        <f>1/SUMIFS(#REF!,#REF!,Analytica!$C114,#REF!,RIGHT(Analytica!$D114,3))</f>
        <v>#REF!</v>
      </c>
      <c r="AC114" s="147" t="e">
        <f>1/SUMIFS(#REF!,#REF!,Analytica!$C114,#REF!,RIGHT(Analytica!$D114,3))</f>
        <v>#REF!</v>
      </c>
      <c r="AD114" s="147" t="e">
        <f>1/SUMIFS(#REF!,#REF!,Analytica!$C114,#REF!,RIGHT(Analytica!$D114,3))</f>
        <v>#REF!</v>
      </c>
      <c r="AE114" s="193" t="e">
        <f>1/SUMIFS(#REF!,#REF!,Analytica!$C114,#REF!,RIGHT(Analytica!$D114,3))</f>
        <v>#REF!</v>
      </c>
      <c r="AF114" s="193"/>
      <c r="AG114" s="194">
        <v>1</v>
      </c>
      <c r="AH114" s="194">
        <f>AH66/AH67*AH115</f>
        <v>487.93844290017597</v>
      </c>
      <c r="AI114" s="194">
        <f>AI66/AI67*AI115</f>
        <v>911.62921065175237</v>
      </c>
      <c r="AJ114" s="194"/>
      <c r="AK114" s="149"/>
      <c r="AL114" s="149"/>
      <c r="AM114" s="149"/>
      <c r="AN114" s="149"/>
      <c r="AO114" s="149"/>
      <c r="AP114" s="149"/>
      <c r="AQ114" s="149"/>
      <c r="AR114" s="152"/>
      <c r="AS114" s="150"/>
      <c r="AT114" s="151"/>
      <c r="AU114" s="152"/>
      <c r="AV114" s="152"/>
      <c r="AW114" s="152"/>
      <c r="AX114" s="152"/>
      <c r="AY114" s="153"/>
      <c r="BA114" s="154">
        <f t="shared" si="39"/>
        <v>0</v>
      </c>
      <c r="BC114" s="91">
        <f>BC112-BC110</f>
        <v>0</v>
      </c>
      <c r="BD114" s="90">
        <f>BC114/5.5</f>
        <v>0</v>
      </c>
      <c r="BE114" s="63" t="s">
        <v>136</v>
      </c>
    </row>
    <row r="115" spans="1:57" x14ac:dyDescent="0.25">
      <c r="A115" s="63" t="str">
        <f t="shared" si="32"/>
        <v>MBTODS</v>
      </c>
      <c r="B115" s="63" t="str">
        <f>D115&amp;C115&amp;"-N"</f>
        <v>TPPUMBTODS-N</v>
      </c>
      <c r="C115" s="63" t="s">
        <v>234</v>
      </c>
      <c r="D115" s="63" t="s">
        <v>279</v>
      </c>
      <c r="E115" s="63" t="s">
        <v>280</v>
      </c>
      <c r="F115" s="144">
        <f>INDEX($F$17:$F$49,MATCH($E115,$E$17:$E$49,0))</f>
        <v>3.4999999999999996E-2</v>
      </c>
      <c r="G115" s="145">
        <f>G35</f>
        <v>30917.830131483901</v>
      </c>
      <c r="H115" s="145">
        <f t="shared" si="65"/>
        <v>30917.830131483901</v>
      </c>
      <c r="I115" s="145">
        <f t="shared" si="65"/>
        <v>25954.189570823906</v>
      </c>
      <c r="J115" s="145">
        <f t="shared" si="65"/>
        <v>18289.608268861255</v>
      </c>
      <c r="K115" s="145">
        <f t="shared" si="65"/>
        <v>6400.2243497300842</v>
      </c>
      <c r="L115" s="145">
        <f t="shared" si="65"/>
        <v>1112.1922242201579</v>
      </c>
      <c r="M115" s="145">
        <f t="shared" si="66"/>
        <v>1</v>
      </c>
      <c r="N115" s="145">
        <f t="shared" si="56"/>
        <v>0.83945702076920736</v>
      </c>
      <c r="O115" s="145">
        <f t="shared" si="56"/>
        <v>0.59155536436681511</v>
      </c>
      <c r="P115" s="145">
        <f t="shared" si="56"/>
        <v>0.2070075526811527</v>
      </c>
      <c r="Q115" s="145">
        <f t="shared" si="56"/>
        <v>3.5972518753429682E-2</v>
      </c>
      <c r="R115" s="145">
        <f t="shared" si="56"/>
        <v>3.2343796306122114E-5</v>
      </c>
      <c r="S115" s="71">
        <v>11.45</v>
      </c>
      <c r="T115" s="148">
        <f>W35</f>
        <v>11.0775109229247</v>
      </c>
      <c r="U115" s="145">
        <f t="shared" ref="U115:X117" si="69">T115/((1+U$57)^(U$58-T$58))</f>
        <v>9.8336296703072001</v>
      </c>
      <c r="V115" s="145">
        <f t="shared" si="69"/>
        <v>8.4733164557947447</v>
      </c>
      <c r="W115" s="145">
        <f t="shared" si="69"/>
        <v>7.3011791339706908</v>
      </c>
      <c r="X115" s="145">
        <f t="shared" si="69"/>
        <v>6.2911868126763029</v>
      </c>
      <c r="Y115" s="71"/>
      <c r="Z115" s="147" t="e">
        <f t="shared" si="68"/>
        <v>#REF!</v>
      </c>
      <c r="AA115" s="147" t="e">
        <f>1/SUMIFS(#REF!,#REF!,Analytica!$C115,#REF!,RIGHT(Analytica!$D115,3))</f>
        <v>#REF!</v>
      </c>
      <c r="AB115" s="147" t="e">
        <f>1/SUMIFS(#REF!,#REF!,Analytica!$C115,#REF!,RIGHT(Analytica!$D115,3))</f>
        <v>#REF!</v>
      </c>
      <c r="AC115" s="147" t="e">
        <f>1/SUMIFS(#REF!,#REF!,Analytica!$C115,#REF!,RIGHT(Analytica!$D115,3))</f>
        <v>#REF!</v>
      </c>
      <c r="AD115" s="147" t="e">
        <f>1/SUMIFS(#REF!,#REF!,Analytica!$C115,#REF!,RIGHT(Analytica!$D115,3))</f>
        <v>#REF!</v>
      </c>
      <c r="AE115" s="193" t="e">
        <f>1/SUMIFS(#REF!,#REF!,Analytica!$C115,#REF!,RIGHT(Analytica!$D115,3))</f>
        <v>#REF!</v>
      </c>
      <c r="AF115" s="193"/>
      <c r="AG115" s="194"/>
      <c r="AH115" s="194">
        <v>213.108</v>
      </c>
      <c r="AI115" s="194">
        <v>487.2057272727273</v>
      </c>
      <c r="AJ115" s="194"/>
      <c r="AK115" s="149"/>
      <c r="AL115" s="149"/>
      <c r="AM115" s="149"/>
      <c r="AN115" s="149"/>
      <c r="AO115" s="149"/>
      <c r="AP115" s="149"/>
      <c r="AQ115" s="149"/>
      <c r="AR115" s="152"/>
      <c r="AS115" s="150"/>
      <c r="AT115" s="151"/>
      <c r="AU115" s="152"/>
      <c r="AV115" s="152"/>
      <c r="AW115" s="152"/>
      <c r="AX115" s="152"/>
      <c r="AY115" s="153"/>
      <c r="BA115" s="154">
        <f t="shared" si="39"/>
        <v>0.58515987307786188</v>
      </c>
    </row>
    <row r="116" spans="1:57" x14ac:dyDescent="0.25">
      <c r="A116" s="63" t="str">
        <f t="shared" si="32"/>
        <v>MBTOGS</v>
      </c>
      <c r="B116" s="63" t="str">
        <f>D116&amp;C116&amp;"-N"</f>
        <v>TPPUMBTOGS-N</v>
      </c>
      <c r="C116" s="63" t="s">
        <v>241</v>
      </c>
      <c r="D116" s="63" t="s">
        <v>279</v>
      </c>
      <c r="E116" s="63" t="s">
        <v>281</v>
      </c>
      <c r="F116" s="144">
        <f>INDEX($F$17:$F$49,MATCH($E116,$E$17:$E$49,0))</f>
        <v>3.4999999999999996E-2</v>
      </c>
      <c r="G116" s="145">
        <f>G36</f>
        <v>20965.008962084201</v>
      </c>
      <c r="H116" s="145">
        <f t="shared" si="65"/>
        <v>20965.008962084201</v>
      </c>
      <c r="I116" s="145">
        <f t="shared" si="65"/>
        <v>17599.223963710934</v>
      </c>
      <c r="J116" s="145">
        <f t="shared" si="65"/>
        <v>12401.963515519263</v>
      </c>
      <c r="K116" s="145">
        <f t="shared" si="65"/>
        <v>4339.9151971794827</v>
      </c>
      <c r="L116" s="145">
        <f t="shared" si="65"/>
        <v>754.16417805439505</v>
      </c>
      <c r="M116" s="145">
        <f t="shared" si="66"/>
        <v>1</v>
      </c>
      <c r="N116" s="145">
        <f t="shared" si="56"/>
        <v>0.83945702076920725</v>
      </c>
      <c r="O116" s="145">
        <f t="shared" si="56"/>
        <v>0.59155536436681511</v>
      </c>
      <c r="P116" s="145">
        <f t="shared" si="56"/>
        <v>0.20700755268115265</v>
      </c>
      <c r="Q116" s="145">
        <f t="shared" si="56"/>
        <v>3.5972518753429675E-2</v>
      </c>
      <c r="R116" s="145">
        <f t="shared" si="56"/>
        <v>4.7698524804283543E-5</v>
      </c>
      <c r="S116" s="71">
        <v>14.36</v>
      </c>
      <c r="T116" s="148">
        <f>W36</f>
        <v>14.5644836562465</v>
      </c>
      <c r="U116" s="145">
        <f t="shared" si="69"/>
        <v>12.929054154067694</v>
      </c>
      <c r="V116" s="145">
        <f t="shared" si="69"/>
        <v>11.140542301721721</v>
      </c>
      <c r="W116" s="145">
        <f t="shared" si="69"/>
        <v>9.5994402450084504</v>
      </c>
      <c r="X116" s="145">
        <f t="shared" si="69"/>
        <v>8.2715231019989606</v>
      </c>
      <c r="Y116" s="71"/>
      <c r="Z116" s="147" t="e">
        <f t="shared" si="68"/>
        <v>#REF!</v>
      </c>
      <c r="AA116" s="147" t="e">
        <f>1/SUMIFS(#REF!,#REF!,Analytica!$C116,#REF!,RIGHT(Analytica!$D116,3))</f>
        <v>#REF!</v>
      </c>
      <c r="AB116" s="147" t="e">
        <f>1/SUMIFS(#REF!,#REF!,Analytica!$C116,#REF!,RIGHT(Analytica!$D116,3))</f>
        <v>#REF!</v>
      </c>
      <c r="AC116" s="147" t="e">
        <f>1/SUMIFS(#REF!,#REF!,Analytica!$C116,#REF!,RIGHT(Analytica!$D116,3))</f>
        <v>#REF!</v>
      </c>
      <c r="AD116" s="147" t="e">
        <f>1/SUMIFS(#REF!,#REF!,Analytica!$C116,#REF!,RIGHT(Analytica!$D116,3))</f>
        <v>#REF!</v>
      </c>
      <c r="AE116" s="193" t="e">
        <f>1/SUMIFS(#REF!,#REF!,Analytica!$C116,#REF!,RIGHT(Analytica!$D116,3))</f>
        <v>#REF!</v>
      </c>
      <c r="AF116" s="193"/>
      <c r="AG116" s="194"/>
      <c r="AH116" s="194">
        <v>170.4864</v>
      </c>
      <c r="AI116" s="194">
        <v>433.22666666666669</v>
      </c>
      <c r="AJ116" s="194"/>
      <c r="AK116" s="149"/>
      <c r="AL116" s="149"/>
      <c r="AM116" s="149"/>
      <c r="AN116" s="149"/>
      <c r="AO116" s="149"/>
      <c r="AP116" s="149"/>
      <c r="AQ116" s="149"/>
      <c r="AR116" s="152"/>
      <c r="AS116" s="150"/>
      <c r="AT116" s="151"/>
      <c r="AU116" s="152"/>
      <c r="AV116" s="152"/>
      <c r="AW116" s="152"/>
      <c r="AX116" s="152"/>
      <c r="AY116" s="153"/>
      <c r="BA116" s="154">
        <f t="shared" si="39"/>
        <v>0.41484012692213817</v>
      </c>
      <c r="BB116" s="63" t="s">
        <v>71</v>
      </c>
      <c r="BC116" s="90">
        <f>AJ116*1000</f>
        <v>0</v>
      </c>
    </row>
    <row r="117" spans="1:57" x14ac:dyDescent="0.25">
      <c r="A117" s="63" t="str">
        <f t="shared" si="32"/>
        <v>MBTGAS</v>
      </c>
      <c r="B117" s="63" t="str">
        <f>D117&amp;C117&amp;"-N"</f>
        <v>TPPUMBTGAS-N</v>
      </c>
      <c r="C117" s="63" t="s">
        <v>294</v>
      </c>
      <c r="D117" s="63" t="s">
        <v>279</v>
      </c>
      <c r="E117" s="63" t="s">
        <v>382</v>
      </c>
      <c r="F117" s="144">
        <f>F116</f>
        <v>3.4999999999999996E-2</v>
      </c>
      <c r="G117" s="145">
        <f>G116</f>
        <v>20965.008962084201</v>
      </c>
      <c r="H117" s="145">
        <f t="shared" si="65"/>
        <v>20965.008962084201</v>
      </c>
      <c r="I117" s="145">
        <f t="shared" si="65"/>
        <v>17599.223963710934</v>
      </c>
      <c r="J117" s="145">
        <f t="shared" si="65"/>
        <v>12401.963515519263</v>
      </c>
      <c r="K117" s="145">
        <f t="shared" si="65"/>
        <v>4339.9151971794827</v>
      </c>
      <c r="L117" s="145">
        <f t="shared" si="65"/>
        <v>754.16417805439505</v>
      </c>
      <c r="M117" s="145">
        <f t="shared" si="66"/>
        <v>1</v>
      </c>
      <c r="N117" s="145">
        <f t="shared" si="56"/>
        <v>0.83945702076920725</v>
      </c>
      <c r="O117" s="145">
        <f t="shared" si="56"/>
        <v>0.59155536436681511</v>
      </c>
      <c r="P117" s="145">
        <f t="shared" si="56"/>
        <v>0.20700755268115265</v>
      </c>
      <c r="Q117" s="145">
        <f t="shared" si="56"/>
        <v>3.5972518753429675E-2</v>
      </c>
      <c r="R117" s="145">
        <f t="shared" si="56"/>
        <v>4.7698524804283543E-5</v>
      </c>
      <c r="S117" s="71">
        <f>S70/S67*S116</f>
        <v>14.661861861861862</v>
      </c>
      <c r="T117" s="71">
        <f>T70/T67*T116</f>
        <v>13.817957687727693</v>
      </c>
      <c r="U117" s="145">
        <f t="shared" si="69"/>
        <v>12.266354747607245</v>
      </c>
      <c r="V117" s="145">
        <f t="shared" si="69"/>
        <v>10.569515938693012</v>
      </c>
      <c r="W117" s="145">
        <f t="shared" si="69"/>
        <v>9.1074055395371154</v>
      </c>
      <c r="X117" s="145">
        <f t="shared" si="69"/>
        <v>7.8475529194242357</v>
      </c>
      <c r="Y117" s="71"/>
      <c r="Z117" s="147" t="e">
        <f t="shared" si="68"/>
        <v>#REF!</v>
      </c>
      <c r="AA117" s="147" t="e">
        <f>1/SUMIFS(#REF!,#REF!,Analytica!$C117,#REF!,RIGHT(Analytica!$D117,3))</f>
        <v>#REF!</v>
      </c>
      <c r="AB117" s="147" t="e">
        <f>1/SUMIFS(#REF!,#REF!,Analytica!$C117,#REF!,RIGHT(Analytica!$D117,3))</f>
        <v>#REF!</v>
      </c>
      <c r="AC117" s="147" t="e">
        <f>1/SUMIFS(#REF!,#REF!,Analytica!$C117,#REF!,RIGHT(Analytica!$D117,3))</f>
        <v>#REF!</v>
      </c>
      <c r="AD117" s="147" t="e">
        <f>1/SUMIFS(#REF!,#REF!,Analytica!$C117,#REF!,RIGHT(Analytica!$D117,3))</f>
        <v>#REF!</v>
      </c>
      <c r="AE117" s="193" t="e">
        <f>1/SUMIFS(#REF!,#REF!,Analytica!$C117,#REF!,RIGHT(Analytica!$D117,3))</f>
        <v>#REF!</v>
      </c>
      <c r="AF117" s="193"/>
      <c r="AG117" s="194"/>
      <c r="AH117" s="194">
        <f>AH116*(1+$AR$57)</f>
        <v>187.53504000000001</v>
      </c>
      <c r="AI117" s="194">
        <f>AI116*(1+$AR$57)</f>
        <v>476.54933333333338</v>
      </c>
      <c r="AJ117" s="194"/>
      <c r="AK117" s="149"/>
      <c r="AL117" s="149"/>
      <c r="AM117" s="149"/>
      <c r="AN117" s="149"/>
      <c r="AO117" s="149"/>
      <c r="AP117" s="149"/>
      <c r="AQ117" s="149"/>
      <c r="AR117" s="152"/>
      <c r="AS117" s="150"/>
      <c r="AT117" s="151"/>
      <c r="AU117" s="152"/>
      <c r="AV117" s="152"/>
      <c r="AW117" s="152"/>
      <c r="AX117" s="152"/>
      <c r="AY117" s="153"/>
      <c r="BA117" s="154">
        <f t="shared" si="39"/>
        <v>0</v>
      </c>
      <c r="BB117" s="63" t="s">
        <v>333</v>
      </c>
      <c r="BC117" s="90">
        <f>AJ117*1000</f>
        <v>0</v>
      </c>
    </row>
    <row r="118" spans="1:57" x14ac:dyDescent="0.25">
      <c r="A118" s="63" t="str">
        <f t="shared" si="32"/>
        <v>MBTHGN</v>
      </c>
      <c r="B118" s="63" t="str">
        <f>D118&amp;C118&amp;"F-N"</f>
        <v>TPPUMBTHGNF-N</v>
      </c>
      <c r="C118" s="63" t="s">
        <v>334</v>
      </c>
      <c r="D118" s="63" t="s">
        <v>279</v>
      </c>
      <c r="E118" s="63" t="s">
        <v>383</v>
      </c>
      <c r="F118" s="144">
        <f>F116</f>
        <v>3.4999999999999996E-2</v>
      </c>
      <c r="G118" s="145">
        <f>G117</f>
        <v>20965.008962084201</v>
      </c>
      <c r="H118" s="145">
        <f t="shared" si="65"/>
        <v>20965.008962084201</v>
      </c>
      <c r="I118" s="145">
        <f t="shared" si="65"/>
        <v>17599.223963710934</v>
      </c>
      <c r="J118" s="145">
        <f t="shared" si="65"/>
        <v>12401.963515519263</v>
      </c>
      <c r="K118" s="145">
        <f t="shared" si="65"/>
        <v>4339.9151971794827</v>
      </c>
      <c r="L118" s="145">
        <f t="shared" si="65"/>
        <v>754.16417805439505</v>
      </c>
      <c r="M118" s="145">
        <f t="shared" si="66"/>
        <v>1</v>
      </c>
      <c r="N118" s="145">
        <f t="shared" si="56"/>
        <v>0.83945702076920725</v>
      </c>
      <c r="O118" s="145">
        <f t="shared" si="56"/>
        <v>0.59155536436681511</v>
      </c>
      <c r="P118" s="145">
        <f t="shared" si="56"/>
        <v>0.20700755268115265</v>
      </c>
      <c r="Q118" s="145">
        <f t="shared" si="56"/>
        <v>3.5972518753429675E-2</v>
      </c>
      <c r="R118" s="145">
        <f t="shared" si="56"/>
        <v>4.7698524804283543E-5</v>
      </c>
      <c r="S118" s="145" t="e">
        <f t="shared" ref="S118:X118" si="70">S116*S71/S67</f>
        <v>#REF!</v>
      </c>
      <c r="T118" s="145" t="e">
        <f t="shared" si="70"/>
        <v>#REF!</v>
      </c>
      <c r="U118" s="145" t="e">
        <f t="shared" si="70"/>
        <v>#REF!</v>
      </c>
      <c r="V118" s="145" t="e">
        <f t="shared" si="70"/>
        <v>#REF!</v>
      </c>
      <c r="W118" s="145" t="e">
        <f t="shared" si="70"/>
        <v>#REF!</v>
      </c>
      <c r="X118" s="145" t="e">
        <f t="shared" si="70"/>
        <v>#REF!</v>
      </c>
      <c r="Y118" s="71"/>
      <c r="Z118" s="147" t="e">
        <f t="shared" si="68"/>
        <v>#REF!</v>
      </c>
      <c r="AA118" s="147" t="e">
        <f>1/SUMIFS(#REF!,#REF!,Analytica!$C118,#REF!,RIGHT(Analytica!$D118,3))</f>
        <v>#REF!</v>
      </c>
      <c r="AB118" s="147" t="e">
        <f>1/SUMIFS(#REF!,#REF!,Analytica!$C118,#REF!,RIGHT(Analytica!$D118,3))</f>
        <v>#REF!</v>
      </c>
      <c r="AC118" s="147" t="e">
        <f>1/SUMIFS(#REF!,#REF!,Analytica!$C118,#REF!,RIGHT(Analytica!$D118,3))</f>
        <v>#REF!</v>
      </c>
      <c r="AD118" s="147" t="e">
        <f>1/SUMIFS(#REF!,#REF!,Analytica!$C118,#REF!,RIGHT(Analytica!$D118,3))</f>
        <v>#REF!</v>
      </c>
      <c r="AE118" s="193" t="e">
        <f>1/SUMIFS(#REF!,#REF!,Analytica!$C118,#REF!,RIGHT(Analytica!$D118,3))</f>
        <v>#REF!</v>
      </c>
      <c r="AF118" s="193"/>
      <c r="AG118" s="194"/>
      <c r="AH118" s="194"/>
      <c r="AI118" s="194"/>
      <c r="AJ118" s="194"/>
      <c r="AK118" s="149"/>
      <c r="AL118" s="149"/>
      <c r="AM118" s="149"/>
      <c r="AN118" s="149"/>
      <c r="AO118" s="149"/>
      <c r="AP118" s="149"/>
      <c r="AQ118" s="149"/>
      <c r="AR118" s="152"/>
      <c r="AS118" s="150"/>
      <c r="AT118" s="151"/>
      <c r="AU118" s="152"/>
      <c r="AV118" s="152"/>
      <c r="AW118" s="152"/>
      <c r="AX118" s="152"/>
      <c r="AY118" s="153"/>
      <c r="BA118" s="154">
        <v>0</v>
      </c>
      <c r="BC118" s="91">
        <f>BC117-BC116</f>
        <v>0</v>
      </c>
      <c r="BD118" s="90">
        <f>BC118/5.5</f>
        <v>0</v>
      </c>
      <c r="BE118" s="63" t="s">
        <v>384</v>
      </c>
    </row>
    <row r="119" spans="1:57" x14ac:dyDescent="0.25">
      <c r="A119" s="63" t="str">
        <f t="shared" si="32"/>
        <v>MBTBGS</v>
      </c>
      <c r="B119" s="63" t="str">
        <f t="shared" ref="B119:B125" si="71">D119&amp;C119&amp;"-N"</f>
        <v>TPPUMBTBGS-N</v>
      </c>
      <c r="C119" s="63" t="s">
        <v>337</v>
      </c>
      <c r="D119" s="63" t="s">
        <v>279</v>
      </c>
      <c r="E119" s="63" t="s">
        <v>385</v>
      </c>
      <c r="F119" s="144">
        <f>F116</f>
        <v>3.4999999999999996E-2</v>
      </c>
      <c r="G119" s="145">
        <f>G118</f>
        <v>20965.008962084201</v>
      </c>
      <c r="H119" s="145">
        <f t="shared" si="65"/>
        <v>20965.008962084201</v>
      </c>
      <c r="I119" s="145">
        <f t="shared" si="65"/>
        <v>17599.223963710934</v>
      </c>
      <c r="J119" s="145">
        <f t="shared" si="65"/>
        <v>12401.963515519263</v>
      </c>
      <c r="K119" s="145">
        <f t="shared" si="65"/>
        <v>4339.9151971794827</v>
      </c>
      <c r="L119" s="145">
        <f t="shared" si="65"/>
        <v>754.16417805439505</v>
      </c>
      <c r="M119" s="145">
        <f t="shared" si="66"/>
        <v>1</v>
      </c>
      <c r="N119" s="145">
        <f t="shared" si="56"/>
        <v>0.83945702076920725</v>
      </c>
      <c r="O119" s="145">
        <f t="shared" si="56"/>
        <v>0.59155536436681511</v>
      </c>
      <c r="P119" s="145">
        <f t="shared" si="56"/>
        <v>0.20700755268115265</v>
      </c>
      <c r="Q119" s="145">
        <f t="shared" si="56"/>
        <v>3.5972518753429675E-2</v>
      </c>
      <c r="R119" s="145">
        <f t="shared" si="56"/>
        <v>4.7698524804283543E-5</v>
      </c>
      <c r="S119" s="145">
        <v>19.333899391304378</v>
      </c>
      <c r="T119" s="145">
        <f>S119</f>
        <v>19.333899391304378</v>
      </c>
      <c r="U119" s="145">
        <f t="shared" ref="U119:X124" si="72">T119/((1+U$57)^(U$58-T$58))</f>
        <v>17.162917556110038</v>
      </c>
      <c r="V119" s="145">
        <f t="shared" si="72"/>
        <v>14.788723658849419</v>
      </c>
      <c r="W119" s="145">
        <f t="shared" si="72"/>
        <v>12.742958575825156</v>
      </c>
      <c r="X119" s="145">
        <f t="shared" si="72"/>
        <v>10.980189839981735</v>
      </c>
      <c r="Y119" s="71"/>
      <c r="Z119" s="147" t="e">
        <f t="shared" si="68"/>
        <v>#REF!</v>
      </c>
      <c r="AA119" s="147" t="e">
        <f>1/SUMIFS(#REF!,#REF!,Analytica!$C119,#REF!,RIGHT(Analytica!$D119,3))</f>
        <v>#REF!</v>
      </c>
      <c r="AB119" s="147" t="e">
        <f>1/SUMIFS(#REF!,#REF!,Analytica!$C119,#REF!,RIGHT(Analytica!$D119,3))</f>
        <v>#REF!</v>
      </c>
      <c r="AC119" s="147" t="e">
        <f>1/SUMIFS(#REF!,#REF!,Analytica!$C119,#REF!,RIGHT(Analytica!$D119,3))</f>
        <v>#REF!</v>
      </c>
      <c r="AD119" s="147" t="e">
        <f>1/SUMIFS(#REF!,#REF!,Analytica!$C119,#REF!,RIGHT(Analytica!$D119,3))</f>
        <v>#REF!</v>
      </c>
      <c r="AE119" s="193" t="e">
        <f>1/SUMIFS(#REF!,#REF!,Analytica!$C119,#REF!,RIGHT(Analytica!$D119,3))</f>
        <v>#REF!</v>
      </c>
      <c r="AF119" s="193"/>
      <c r="AG119" s="194"/>
      <c r="AH119" s="194"/>
      <c r="AI119" s="194"/>
      <c r="AJ119" s="194"/>
      <c r="AK119" s="149"/>
      <c r="AL119" s="149"/>
      <c r="AM119" s="149"/>
      <c r="AN119" s="149"/>
      <c r="AO119" s="149"/>
      <c r="AP119" s="149"/>
      <c r="AQ119" s="149"/>
      <c r="AR119" s="152"/>
      <c r="AS119" s="150"/>
      <c r="AT119" s="151"/>
      <c r="AU119" s="152"/>
      <c r="AV119" s="152"/>
      <c r="AW119" s="152"/>
      <c r="AX119" s="152"/>
      <c r="AY119" s="153"/>
      <c r="BA119" s="154">
        <v>1</v>
      </c>
      <c r="BC119" s="90">
        <f>BC118-BC117</f>
        <v>0</v>
      </c>
      <c r="BD119" s="90">
        <f>BC119/5.5</f>
        <v>0</v>
      </c>
      <c r="BE119" s="63" t="s">
        <v>384</v>
      </c>
    </row>
    <row r="120" spans="1:57" x14ac:dyDescent="0.25">
      <c r="A120" s="63" t="str">
        <f t="shared" si="32"/>
        <v>MBTELC</v>
      </c>
      <c r="B120" s="63" t="str">
        <f t="shared" si="71"/>
        <v>TPPUMBTELC-N</v>
      </c>
      <c r="C120" s="63" t="s">
        <v>250</v>
      </c>
      <c r="D120" s="63" t="s">
        <v>279</v>
      </c>
      <c r="E120" s="65" t="s">
        <v>386</v>
      </c>
      <c r="F120" s="144">
        <f>F117</f>
        <v>3.4999999999999996E-2</v>
      </c>
      <c r="G120" s="145">
        <f>G119</f>
        <v>20965.008962084201</v>
      </c>
      <c r="H120" s="145">
        <f t="shared" si="65"/>
        <v>20965.008962084201</v>
      </c>
      <c r="I120" s="145">
        <f t="shared" si="65"/>
        <v>17599.223963710934</v>
      </c>
      <c r="J120" s="145">
        <f t="shared" si="65"/>
        <v>12401.963515519263</v>
      </c>
      <c r="K120" s="145">
        <f t="shared" si="65"/>
        <v>4339.9151971794827</v>
      </c>
      <c r="L120" s="145">
        <f t="shared" si="65"/>
        <v>754.16417805439505</v>
      </c>
      <c r="M120" s="145">
        <f t="shared" si="66"/>
        <v>1</v>
      </c>
      <c r="N120" s="145">
        <f t="shared" si="56"/>
        <v>0.83945702076920725</v>
      </c>
      <c r="O120" s="145">
        <f t="shared" si="56"/>
        <v>0.59155536436681511</v>
      </c>
      <c r="P120" s="145">
        <f t="shared" si="56"/>
        <v>0.20700755268115265</v>
      </c>
      <c r="Q120" s="145">
        <f t="shared" si="56"/>
        <v>3.5972518753429675E-2</v>
      </c>
      <c r="R120" s="145">
        <f t="shared" si="56"/>
        <v>4.7698524804283543E-5</v>
      </c>
      <c r="S120" s="161">
        <v>19.333899391304378</v>
      </c>
      <c r="T120" s="71">
        <f>S120</f>
        <v>19.333899391304378</v>
      </c>
      <c r="U120" s="145">
        <f t="shared" si="72"/>
        <v>17.162917556110038</v>
      </c>
      <c r="V120" s="145">
        <f t="shared" si="72"/>
        <v>14.788723658849419</v>
      </c>
      <c r="W120" s="145">
        <f t="shared" si="72"/>
        <v>12.742958575825156</v>
      </c>
      <c r="X120" s="145">
        <f t="shared" si="72"/>
        <v>10.980189839981735</v>
      </c>
      <c r="Y120" s="71"/>
      <c r="Z120" s="147" t="e">
        <f t="shared" si="68"/>
        <v>#REF!</v>
      </c>
      <c r="AA120" s="147" t="e">
        <f>1/SUMIFS(#REF!,#REF!,Analytica!$C120,#REF!,RIGHT(Analytica!$D120,3))</f>
        <v>#REF!</v>
      </c>
      <c r="AB120" s="147" t="e">
        <f>1/SUMIFS(#REF!,#REF!,Analytica!$C120,#REF!,RIGHT(Analytica!$D120,3))</f>
        <v>#REF!</v>
      </c>
      <c r="AC120" s="147" t="e">
        <f>1/SUMIFS(#REF!,#REF!,Analytica!$C120,#REF!,RIGHT(Analytica!$D120,3))</f>
        <v>#REF!</v>
      </c>
      <c r="AD120" s="147" t="e">
        <f>1/SUMIFS(#REF!,#REF!,Analytica!$C120,#REF!,RIGHT(Analytica!$D120,3))</f>
        <v>#REF!</v>
      </c>
      <c r="AE120" s="193" t="e">
        <f>1/SUMIFS(#REF!,#REF!,Analytica!$C120,#REF!,RIGHT(Analytica!$D120,3))</f>
        <v>#REF!</v>
      </c>
      <c r="AF120" s="193"/>
      <c r="AG120" s="194"/>
      <c r="AH120" s="193"/>
      <c r="AI120" s="194"/>
      <c r="AJ120" s="194"/>
      <c r="AK120" s="149"/>
      <c r="AL120" s="149"/>
      <c r="AM120" s="149"/>
      <c r="AN120" s="149"/>
      <c r="AO120" s="149"/>
      <c r="AP120" s="149"/>
      <c r="AQ120" s="149"/>
      <c r="AR120" s="152"/>
      <c r="AS120" s="150"/>
      <c r="AT120" s="151"/>
      <c r="AU120" s="152"/>
      <c r="AV120" s="152"/>
      <c r="AW120" s="152"/>
      <c r="AX120" s="152"/>
      <c r="AY120" s="153"/>
      <c r="BA120" s="154">
        <v>1</v>
      </c>
      <c r="BC120" s="90">
        <f>BC119-BC118</f>
        <v>0</v>
      </c>
      <c r="BD120" s="63">
        <f>BC120/5.5</f>
        <v>0</v>
      </c>
      <c r="BE120" s="63" t="s">
        <v>384</v>
      </c>
    </row>
    <row r="121" spans="1:57" x14ac:dyDescent="0.25">
      <c r="A121" s="63" t="str">
        <f t="shared" si="32"/>
        <v>SUVODSH</v>
      </c>
      <c r="B121" s="63" t="str">
        <f t="shared" si="71"/>
        <v>TPPRSUVODSH-N</v>
      </c>
      <c r="C121" s="63" t="s">
        <v>340</v>
      </c>
      <c r="D121" s="63" t="s">
        <v>283</v>
      </c>
      <c r="E121" s="63" t="s">
        <v>387</v>
      </c>
      <c r="F121" s="144">
        <f>F122</f>
        <v>2.4E-2</v>
      </c>
      <c r="G121" s="145">
        <f>G123</f>
        <v>22250.436222693301</v>
      </c>
      <c r="H121" s="145">
        <f t="shared" si="65"/>
        <v>22250.436222693301</v>
      </c>
      <c r="I121" s="145">
        <f t="shared" si="65"/>
        <v>19734.366611778401</v>
      </c>
      <c r="J121" s="145">
        <f t="shared" si="65"/>
        <v>15523.602597326451</v>
      </c>
      <c r="K121" s="145">
        <f t="shared" si="65"/>
        <v>7556.1485848747261</v>
      </c>
      <c r="L121" s="145">
        <f t="shared" si="65"/>
        <v>2275.8682181128447</v>
      </c>
      <c r="M121" s="145">
        <f t="shared" si="66"/>
        <v>1</v>
      </c>
      <c r="N121" s="145">
        <f t="shared" si="56"/>
        <v>0.88692043671715748</v>
      </c>
      <c r="O121" s="145">
        <f t="shared" si="56"/>
        <v>0.69767632607103103</v>
      </c>
      <c r="P121" s="145">
        <f t="shared" si="56"/>
        <v>0.33959552564493917</v>
      </c>
      <c r="Q121" s="145">
        <f t="shared" si="56"/>
        <v>0.10228420671553749</v>
      </c>
      <c r="R121" s="145">
        <f t="shared" si="56"/>
        <v>4.4942939095283732E-5</v>
      </c>
      <c r="S121" s="71">
        <f>S122/1.3</f>
        <v>9.2051282051282044</v>
      </c>
      <c r="T121" s="71">
        <f>T122/1.3</f>
        <v>8.6630075528088462</v>
      </c>
      <c r="U121" s="145">
        <f t="shared" si="72"/>
        <v>7.6902481702003831</v>
      </c>
      <c r="V121" s="145">
        <f t="shared" si="72"/>
        <v>6.6264348520731602</v>
      </c>
      <c r="W121" s="145">
        <f t="shared" si="72"/>
        <v>5.7097817751732842</v>
      </c>
      <c r="X121" s="145">
        <f t="shared" si="72"/>
        <v>4.9199318559513454</v>
      </c>
      <c r="Y121" s="71"/>
      <c r="Z121" s="147" t="e">
        <f>Z64/Z65 *Z122</f>
        <v>#REF!</v>
      </c>
      <c r="AA121" s="147" t="e">
        <f>1/SUMIFS(#REF!,#REF!,Analytica!$C121,#REF!,RIGHT(Analytica!$D121,3))</f>
        <v>#REF!</v>
      </c>
      <c r="AB121" s="147" t="e">
        <f>1/SUMIFS(#REF!,#REF!,Analytica!$C121,#REF!,RIGHT(Analytica!$D121,3))</f>
        <v>#REF!</v>
      </c>
      <c r="AC121" s="147" t="e">
        <f>1/SUMIFS(#REF!,#REF!,Analytica!$C121,#REF!,RIGHT(Analytica!$D121,3))</f>
        <v>#REF!</v>
      </c>
      <c r="AD121" s="147" t="e">
        <f>1/SUMIFS(#REF!,#REF!,Analytica!$C121,#REF!,RIGHT(Analytica!$D121,3))</f>
        <v>#REF!</v>
      </c>
      <c r="AE121" s="147" t="e">
        <f>1/SUMIFS(#REF!,#REF!,Analytica!$C121,#REF!,RIGHT(Analytica!$D121,3))</f>
        <v>#REF!</v>
      </c>
      <c r="AF121" s="147"/>
      <c r="AG121" s="194">
        <v>1</v>
      </c>
      <c r="AH121" s="194">
        <f>AH64/AH65*AH122</f>
        <v>783.91454624056792</v>
      </c>
      <c r="AI121" s="194">
        <f>AI64/AI65*AI122</f>
        <v>0</v>
      </c>
      <c r="AJ121" s="194"/>
      <c r="AK121" s="149"/>
      <c r="AL121" s="149"/>
      <c r="AM121" s="149"/>
      <c r="AN121" s="149"/>
      <c r="AO121" s="149"/>
      <c r="AP121" s="149"/>
      <c r="AQ121" s="149"/>
      <c r="AR121" s="152"/>
      <c r="AS121" s="150"/>
      <c r="AT121" s="151"/>
      <c r="AU121" s="152"/>
      <c r="AV121" s="152"/>
      <c r="AW121" s="152"/>
      <c r="AX121" s="152"/>
      <c r="AY121" s="153"/>
      <c r="BA121" s="154">
        <f t="shared" ref="BA121:BA130" si="73">SUMIF($E$17:$E$41,E121,$AR$17:$AR$41)/SUMIF($D$17:$D$41,D121,$AR$17:$AR$41)</f>
        <v>0</v>
      </c>
      <c r="BC121" s="91" t="e">
        <f>#REF!-#REF!</f>
        <v>#REF!</v>
      </c>
      <c r="BD121" s="195" t="e">
        <f>BC121/5.5</f>
        <v>#REF!</v>
      </c>
    </row>
    <row r="122" spans="1:57" x14ac:dyDescent="0.25">
      <c r="A122" s="63" t="str">
        <f t="shared" si="32"/>
        <v>SUVODS</v>
      </c>
      <c r="B122" s="63" t="str">
        <f t="shared" si="71"/>
        <v>TPPRSUVODS-N</v>
      </c>
      <c r="C122" s="63" t="s">
        <v>234</v>
      </c>
      <c r="D122" s="63" t="s">
        <v>283</v>
      </c>
      <c r="E122" s="63" t="s">
        <v>284</v>
      </c>
      <c r="F122" s="144">
        <f>INDEX($F$17:$F$49,MATCH($E122,$E$17:$E$49,0))</f>
        <v>2.4E-2</v>
      </c>
      <c r="G122" s="145">
        <f>G37</f>
        <v>20405.076992301299</v>
      </c>
      <c r="H122" s="145">
        <f t="shared" si="65"/>
        <v>20405.076992301299</v>
      </c>
      <c r="I122" s="145">
        <f t="shared" si="65"/>
        <v>18097.67979725909</v>
      </c>
      <c r="J122" s="145">
        <f t="shared" si="65"/>
        <v>14236.139149185296</v>
      </c>
      <c r="K122" s="145">
        <f t="shared" si="65"/>
        <v>6929.4728470260143</v>
      </c>
      <c r="L122" s="145">
        <f t="shared" si="65"/>
        <v>2087.1171131270039</v>
      </c>
      <c r="M122" s="145">
        <f t="shared" si="66"/>
        <v>1</v>
      </c>
      <c r="N122" s="145">
        <f t="shared" si="56"/>
        <v>0.88692043671715748</v>
      </c>
      <c r="O122" s="145">
        <f t="shared" si="56"/>
        <v>0.69767632607103103</v>
      </c>
      <c r="P122" s="145">
        <f t="shared" si="56"/>
        <v>0.33959552564493917</v>
      </c>
      <c r="Q122" s="145">
        <f t="shared" si="56"/>
        <v>0.10228420671553748</v>
      </c>
      <c r="R122" s="145">
        <f t="shared" si="56"/>
        <v>4.9007411262270333E-5</v>
      </c>
      <c r="S122" s="71">
        <f>S124/1.2</f>
        <v>11.966666666666667</v>
      </c>
      <c r="T122" s="148">
        <f>W37</f>
        <v>11.2619098186515</v>
      </c>
      <c r="U122" s="145">
        <f t="shared" si="72"/>
        <v>9.9973226212604978</v>
      </c>
      <c r="V122" s="145">
        <f t="shared" si="72"/>
        <v>8.6143653076951079</v>
      </c>
      <c r="W122" s="145">
        <f t="shared" si="72"/>
        <v>7.4227163077252687</v>
      </c>
      <c r="X122" s="145">
        <f t="shared" si="72"/>
        <v>6.3959114127367478</v>
      </c>
      <c r="Y122" s="71"/>
      <c r="Z122" s="147" t="e">
        <f>(AA122/AB122)*AA122</f>
        <v>#REF!</v>
      </c>
      <c r="AA122" s="147" t="e">
        <f>1/SUMIFS(#REF!,#REF!,Analytica!$C122,#REF!,RIGHT(Analytica!$D122,3))</f>
        <v>#REF!</v>
      </c>
      <c r="AB122" s="147" t="e">
        <f>1/SUMIFS(#REF!,#REF!,Analytica!$C122,#REF!,RIGHT(Analytica!$D122,3))</f>
        <v>#REF!</v>
      </c>
      <c r="AC122" s="147" t="e">
        <f>1/SUMIFS(#REF!,#REF!,Analytica!$C122,#REF!,RIGHT(Analytica!$D122,3))</f>
        <v>#REF!</v>
      </c>
      <c r="AD122" s="147" t="e">
        <f>1/SUMIFS(#REF!,#REF!,Analytica!$C122,#REF!,RIGHT(Analytica!$D122,3))</f>
        <v>#REF!</v>
      </c>
      <c r="AE122" s="193" t="e">
        <f>1/SUMIFS(#REF!,#REF!,Analytica!$C122,#REF!,RIGHT(Analytica!$D122,3))</f>
        <v>#REF!</v>
      </c>
      <c r="AF122" s="193"/>
      <c r="AG122" s="194"/>
      <c r="AH122" s="194">
        <v>342.37610000000001</v>
      </c>
      <c r="AI122" s="194">
        <v>578.12285436396212</v>
      </c>
      <c r="AJ122" s="194"/>
      <c r="AK122" s="149"/>
      <c r="AL122" s="149"/>
      <c r="AM122" s="149"/>
      <c r="AN122" s="149"/>
      <c r="AO122" s="149"/>
      <c r="AP122" s="149"/>
      <c r="AQ122" s="149"/>
      <c r="AR122" s="152"/>
      <c r="AS122" s="150"/>
      <c r="AT122" s="151"/>
      <c r="AU122" s="152"/>
      <c r="AV122" s="152"/>
      <c r="AW122" s="152"/>
      <c r="AX122" s="152"/>
      <c r="AY122" s="153"/>
      <c r="BA122" s="154">
        <f t="shared" si="73"/>
        <v>0.46134144546391248</v>
      </c>
    </row>
    <row r="123" spans="1:57" x14ac:dyDescent="0.25">
      <c r="A123" s="63" t="str">
        <f t="shared" ref="A123:A135" si="74">RIGHT(D123,3)&amp;C123</f>
        <v>SUVOGSH</v>
      </c>
      <c r="B123" s="63" t="str">
        <f t="shared" si="71"/>
        <v>TPPRSUVOGSH-N</v>
      </c>
      <c r="C123" s="63" t="s">
        <v>342</v>
      </c>
      <c r="D123" s="63" t="s">
        <v>283</v>
      </c>
      <c r="E123" s="63" t="s">
        <v>285</v>
      </c>
      <c r="F123" s="144">
        <f>INDEX($F$17:$F$49,MATCH($E123,$E$17:$E$49,0))</f>
        <v>2.4E-2</v>
      </c>
      <c r="G123" s="145">
        <f>G38</f>
        <v>22250.436222693301</v>
      </c>
      <c r="H123" s="145">
        <f t="shared" si="65"/>
        <v>22250.436222693301</v>
      </c>
      <c r="I123" s="145">
        <f t="shared" si="65"/>
        <v>19734.366611778401</v>
      </c>
      <c r="J123" s="145">
        <f t="shared" si="65"/>
        <v>15523.602597326451</v>
      </c>
      <c r="K123" s="145">
        <f t="shared" si="65"/>
        <v>7556.1485848747261</v>
      </c>
      <c r="L123" s="145">
        <f t="shared" si="65"/>
        <v>2275.8682181128447</v>
      </c>
      <c r="M123" s="145">
        <f t="shared" si="66"/>
        <v>1</v>
      </c>
      <c r="N123" s="145">
        <f t="shared" si="56"/>
        <v>0.88692043671715748</v>
      </c>
      <c r="O123" s="145">
        <f t="shared" si="56"/>
        <v>0.69767632607103103</v>
      </c>
      <c r="P123" s="145">
        <f t="shared" si="56"/>
        <v>0.33959552564493917</v>
      </c>
      <c r="Q123" s="145">
        <f t="shared" si="56"/>
        <v>0.10228420671553749</v>
      </c>
      <c r="R123" s="145">
        <f t="shared" si="56"/>
        <v>4.4942939095283732E-5</v>
      </c>
      <c r="S123" s="71">
        <f>S124/1.3</f>
        <v>11.046153846153846</v>
      </c>
      <c r="T123" s="71">
        <f>W38</f>
        <v>6.8382247609900997</v>
      </c>
      <c r="U123" s="145">
        <f t="shared" si="72"/>
        <v>6.0703681873822601</v>
      </c>
      <c r="V123" s="145">
        <f t="shared" si="72"/>
        <v>5.230637351556088</v>
      </c>
      <c r="W123" s="145">
        <f t="shared" si="72"/>
        <v>4.507068806857994</v>
      </c>
      <c r="X123" s="145">
        <f t="shared" si="72"/>
        <v>3.8835935019867374</v>
      </c>
      <c r="Y123" s="71"/>
      <c r="Z123" s="147" t="e">
        <f>Z66/Z67 *Z124</f>
        <v>#REF!</v>
      </c>
      <c r="AA123" s="147" t="e">
        <f>1/SUMIFS(#REF!,#REF!,Analytica!$C123,#REF!,RIGHT(Analytica!$D123,3))</f>
        <v>#REF!</v>
      </c>
      <c r="AB123" s="147" t="e">
        <f>1/SUMIFS(#REF!,#REF!,Analytica!$C123,#REF!,RIGHT(Analytica!$D123,3))</f>
        <v>#REF!</v>
      </c>
      <c r="AC123" s="147" t="e">
        <f>1/SUMIFS(#REF!,#REF!,Analytica!$C123,#REF!,RIGHT(Analytica!$D123,3))</f>
        <v>#REF!</v>
      </c>
      <c r="AD123" s="147" t="e">
        <f>1/SUMIFS(#REF!,#REF!,Analytica!$C123,#REF!,RIGHT(Analytica!$D123,3))</f>
        <v>#REF!</v>
      </c>
      <c r="AE123" s="147" t="e">
        <f>1/SUMIFS(#REF!,#REF!,Analytica!$C123,#REF!,RIGHT(Analytica!$D123,3))</f>
        <v>#REF!</v>
      </c>
      <c r="AF123" s="147"/>
      <c r="AG123" s="194">
        <v>1</v>
      </c>
      <c r="AH123" s="194">
        <f>AH121/AH122*AH124</f>
        <v>756.34808946285307</v>
      </c>
      <c r="AI123" s="194">
        <v>869.57249999999999</v>
      </c>
      <c r="AJ123" s="194"/>
      <c r="AK123" s="149"/>
      <c r="AL123" s="149"/>
      <c r="AM123" s="149"/>
      <c r="AN123" s="149"/>
      <c r="AO123" s="149"/>
      <c r="AP123" s="149"/>
      <c r="AQ123" s="149"/>
      <c r="AR123" s="152"/>
      <c r="AS123" s="150"/>
      <c r="AT123" s="151"/>
      <c r="AU123" s="152"/>
      <c r="AV123" s="152"/>
      <c r="AW123" s="152"/>
      <c r="AX123" s="152"/>
      <c r="AY123" s="153"/>
      <c r="BA123" s="154">
        <f t="shared" si="73"/>
        <v>7.1635346646386339E-4</v>
      </c>
    </row>
    <row r="124" spans="1:57" x14ac:dyDescent="0.25">
      <c r="A124" s="63" t="str">
        <f t="shared" si="74"/>
        <v>SUVOGS</v>
      </c>
      <c r="B124" s="63" t="str">
        <f t="shared" si="71"/>
        <v>TPPRSUVOGS-N</v>
      </c>
      <c r="C124" s="63" t="s">
        <v>241</v>
      </c>
      <c r="D124" s="63" t="s">
        <v>283</v>
      </c>
      <c r="E124" s="63" t="s">
        <v>286</v>
      </c>
      <c r="F124" s="144">
        <f>INDEX($F$17:$F$49,MATCH($E124,$E$17:$E$49,0))</f>
        <v>2.4E-2</v>
      </c>
      <c r="G124" s="145">
        <f>G39</f>
        <v>19920.095193486901</v>
      </c>
      <c r="H124" s="145">
        <f t="shared" ref="H124:L135" si="75">(EXP(-((H$58)*$F124))*G124)</f>
        <v>19920.095193486901</v>
      </c>
      <c r="I124" s="145">
        <f t="shared" si="75"/>
        <v>17667.539528454752</v>
      </c>
      <c r="J124" s="145">
        <f t="shared" si="75"/>
        <v>13897.778829577146</v>
      </c>
      <c r="K124" s="145">
        <f t="shared" si="75"/>
        <v>6764.7751981294105</v>
      </c>
      <c r="L124" s="145">
        <f t="shared" si="75"/>
        <v>2037.5111345637988</v>
      </c>
      <c r="M124" s="145">
        <f t="shared" si="66"/>
        <v>1</v>
      </c>
      <c r="N124" s="145">
        <f t="shared" si="56"/>
        <v>0.88692043671715748</v>
      </c>
      <c r="O124" s="145">
        <f t="shared" si="56"/>
        <v>0.69767632607103114</v>
      </c>
      <c r="P124" s="145">
        <f t="shared" si="56"/>
        <v>0.33959552564493917</v>
      </c>
      <c r="Q124" s="145">
        <f t="shared" si="56"/>
        <v>0.10228420671553748</v>
      </c>
      <c r="R124" s="145">
        <f t="shared" si="56"/>
        <v>5.020056331492639E-5</v>
      </c>
      <c r="S124" s="71">
        <v>14.36</v>
      </c>
      <c r="T124" s="145">
        <f>W39</f>
        <v>13.551554667779801</v>
      </c>
      <c r="U124" s="145">
        <f t="shared" si="72"/>
        <v>12.029865823385324</v>
      </c>
      <c r="V124" s="145">
        <f t="shared" si="72"/>
        <v>10.365741182025751</v>
      </c>
      <c r="W124" s="145">
        <f t="shared" si="72"/>
        <v>8.9318195090647752</v>
      </c>
      <c r="X124" s="145">
        <f t="shared" si="72"/>
        <v>7.6962561906180467</v>
      </c>
      <c r="Y124" s="71"/>
      <c r="Z124" s="147" t="e">
        <f t="shared" ref="Z124:Z135" si="76">(AA124/AB124)*AA124</f>
        <v>#REF!</v>
      </c>
      <c r="AA124" s="147" t="e">
        <f>1/SUMIFS(#REF!,#REF!,Analytica!$C124,#REF!,RIGHT(Analytica!$D124,3))</f>
        <v>#REF!</v>
      </c>
      <c r="AB124" s="147" t="e">
        <f>1/SUMIFS(#REF!,#REF!,Analytica!$C124,#REF!,RIGHT(Analytica!$D124,3))</f>
        <v>#REF!</v>
      </c>
      <c r="AC124" s="147" t="e">
        <f>1/SUMIFS(#REF!,#REF!,Analytica!$C124,#REF!,RIGHT(Analytica!$D124,3))</f>
        <v>#REF!</v>
      </c>
      <c r="AD124" s="147" t="e">
        <f>1/SUMIFS(#REF!,#REF!,Analytica!$C124,#REF!,RIGHT(Analytica!$D124,3))</f>
        <v>#REF!</v>
      </c>
      <c r="AE124" s="193" t="e">
        <f>1/SUMIFS(#REF!,#REF!,Analytica!$C124,#REF!,RIGHT(Analytica!$D124,3))</f>
        <v>#REF!</v>
      </c>
      <c r="AF124" s="193"/>
      <c r="AG124" s="194"/>
      <c r="AH124" s="194">
        <v>330.33640000000003</v>
      </c>
      <c r="AI124" s="194">
        <v>528.97889091362958</v>
      </c>
      <c r="AJ124" s="194"/>
      <c r="AK124" s="149"/>
      <c r="AL124" s="149"/>
      <c r="AM124" s="149"/>
      <c r="AN124" s="149"/>
      <c r="AO124" s="149"/>
      <c r="AP124" s="149"/>
      <c r="AQ124" s="149"/>
      <c r="AR124" s="152"/>
      <c r="AS124" s="150"/>
      <c r="AT124" s="151"/>
      <c r="AU124" s="152"/>
      <c r="AV124" s="152"/>
      <c r="AW124" s="152"/>
      <c r="AX124" s="152"/>
      <c r="AY124" s="153"/>
      <c r="BA124" s="154">
        <f t="shared" si="73"/>
        <v>0.53794220106962365</v>
      </c>
      <c r="BB124" s="63" t="s">
        <v>71</v>
      </c>
      <c r="BC124" s="90">
        <f>AJ124*1000</f>
        <v>0</v>
      </c>
    </row>
    <row r="125" spans="1:57" x14ac:dyDescent="0.25">
      <c r="A125" s="63" t="str">
        <f t="shared" si="74"/>
        <v>SUVGAS</v>
      </c>
      <c r="B125" s="63" t="str">
        <f t="shared" si="71"/>
        <v>TPPRSUVGAS-N</v>
      </c>
      <c r="C125" s="63" t="s">
        <v>294</v>
      </c>
      <c r="D125" s="63" t="s">
        <v>283</v>
      </c>
      <c r="E125" s="63" t="s">
        <v>388</v>
      </c>
      <c r="F125" s="144">
        <f>F124</f>
        <v>2.4E-2</v>
      </c>
      <c r="G125" s="145">
        <f>G123</f>
        <v>22250.436222693301</v>
      </c>
      <c r="H125" s="145">
        <f t="shared" si="75"/>
        <v>22250.436222693301</v>
      </c>
      <c r="I125" s="145">
        <f t="shared" si="75"/>
        <v>19734.366611778401</v>
      </c>
      <c r="J125" s="145">
        <f t="shared" si="75"/>
        <v>15523.602597326451</v>
      </c>
      <c r="K125" s="145">
        <f t="shared" si="75"/>
        <v>7556.1485848747261</v>
      </c>
      <c r="L125" s="145">
        <f t="shared" si="75"/>
        <v>2275.8682181128447</v>
      </c>
      <c r="M125" s="145">
        <f t="shared" si="66"/>
        <v>1</v>
      </c>
      <c r="N125" s="145">
        <f t="shared" si="56"/>
        <v>0.88692043671715748</v>
      </c>
      <c r="O125" s="145">
        <f t="shared" si="56"/>
        <v>0.69767632607103103</v>
      </c>
      <c r="P125" s="145">
        <f t="shared" si="56"/>
        <v>0.33959552564493917</v>
      </c>
      <c r="Q125" s="145">
        <f t="shared" si="56"/>
        <v>0.10228420671553749</v>
      </c>
      <c r="R125" s="145">
        <f t="shared" si="56"/>
        <v>4.4942939095283732E-5</v>
      </c>
      <c r="S125" s="145">
        <f t="shared" ref="S125:X126" si="77">(1+(S123/S66-1)/2)*S70</f>
        <v>11.580930930930931</v>
      </c>
      <c r="T125" s="145">
        <f t="shared" si="77"/>
        <v>8.3076372083499201</v>
      </c>
      <c r="U125" s="145">
        <f t="shared" si="77"/>
        <v>7.4790422203301672</v>
      </c>
      <c r="V125" s="145">
        <f t="shared" si="77"/>
        <v>6.4444456059252362</v>
      </c>
      <c r="W125" s="145">
        <f t="shared" si="77"/>
        <v>5.5529676052417951</v>
      </c>
      <c r="X125" s="145">
        <f t="shared" si="77"/>
        <v>4.7848102242516664</v>
      </c>
      <c r="Y125" s="71"/>
      <c r="Z125" s="147" t="e">
        <f t="shared" si="76"/>
        <v>#REF!</v>
      </c>
      <c r="AA125" s="147" t="e">
        <f>1/SUMIFS(#REF!,#REF!,Analytica!$C125,#REF!,RIGHT(Analytica!$D125,3))</f>
        <v>#REF!</v>
      </c>
      <c r="AB125" s="147" t="e">
        <f>1/SUMIFS(#REF!,#REF!,Analytica!$C125,#REF!,RIGHT(Analytica!$D125,3))</f>
        <v>#REF!</v>
      </c>
      <c r="AC125" s="147" t="e">
        <f>1/SUMIFS(#REF!,#REF!,Analytica!$C125,#REF!,RIGHT(Analytica!$D125,3))</f>
        <v>#REF!</v>
      </c>
      <c r="AD125" s="147" t="e">
        <f>1/SUMIFS(#REF!,#REF!,Analytica!$C125,#REF!,RIGHT(Analytica!$D125,3))</f>
        <v>#REF!</v>
      </c>
      <c r="AE125" s="193" t="e">
        <f>1/SUMIFS(#REF!,#REF!,Analytica!$C125,#REF!,RIGHT(Analytica!$D125,3))</f>
        <v>#REF!</v>
      </c>
      <c r="AF125" s="193"/>
      <c r="AG125" s="194"/>
      <c r="AH125" s="194"/>
      <c r="AI125" s="194"/>
      <c r="AJ125" s="194"/>
      <c r="AK125" s="149"/>
      <c r="AL125" s="149"/>
      <c r="AM125" s="149"/>
      <c r="AN125" s="149"/>
      <c r="AO125" s="149"/>
      <c r="AP125" s="149"/>
      <c r="AQ125" s="149"/>
      <c r="AR125" s="152"/>
      <c r="AS125" s="150"/>
      <c r="AT125" s="151"/>
      <c r="AU125" s="152"/>
      <c r="AV125" s="152"/>
      <c r="AW125" s="152"/>
      <c r="AX125" s="152"/>
      <c r="AY125" s="153"/>
      <c r="BA125" s="154">
        <f t="shared" si="73"/>
        <v>0</v>
      </c>
      <c r="BC125" s="91" t="e">
        <f>#REF!-BC123</f>
        <v>#REF!</v>
      </c>
      <c r="BE125" s="63" t="s">
        <v>389</v>
      </c>
    </row>
    <row r="126" spans="1:57" x14ac:dyDescent="0.25">
      <c r="A126" s="63" t="str">
        <f t="shared" si="74"/>
        <v>SUVHGN</v>
      </c>
      <c r="B126" s="63" t="str">
        <f>D126&amp;C126&amp;"F-N"</f>
        <v>TPPRSUVHGNF-N</v>
      </c>
      <c r="C126" s="63" t="s">
        <v>334</v>
      </c>
      <c r="D126" s="63" t="s">
        <v>283</v>
      </c>
      <c r="E126" s="63" t="s">
        <v>390</v>
      </c>
      <c r="F126" s="144">
        <f>F125</f>
        <v>2.4E-2</v>
      </c>
      <c r="G126" s="145">
        <f>G123</f>
        <v>22250.436222693301</v>
      </c>
      <c r="H126" s="145">
        <f t="shared" si="75"/>
        <v>22250.436222693301</v>
      </c>
      <c r="I126" s="145">
        <f t="shared" si="75"/>
        <v>19734.366611778401</v>
      </c>
      <c r="J126" s="145">
        <f t="shared" si="75"/>
        <v>15523.602597326451</v>
      </c>
      <c r="K126" s="145">
        <f t="shared" si="75"/>
        <v>7556.1485848747261</v>
      </c>
      <c r="L126" s="145">
        <f t="shared" si="75"/>
        <v>2275.8682181128447</v>
      </c>
      <c r="M126" s="145">
        <f t="shared" si="66"/>
        <v>1</v>
      </c>
      <c r="N126" s="145">
        <f t="shared" si="56"/>
        <v>0.88692043671715748</v>
      </c>
      <c r="O126" s="145">
        <f t="shared" si="56"/>
        <v>0.69767632607103103</v>
      </c>
      <c r="P126" s="145">
        <f t="shared" si="56"/>
        <v>0.33959552564493917</v>
      </c>
      <c r="Q126" s="145">
        <f t="shared" si="56"/>
        <v>0.10228420671553749</v>
      </c>
      <c r="R126" s="145">
        <f t="shared" si="56"/>
        <v>4.4942939095283732E-5</v>
      </c>
      <c r="S126" s="145" t="e">
        <f t="shared" si="77"/>
        <v>#REF!</v>
      </c>
      <c r="T126" s="145" t="e">
        <f t="shared" si="77"/>
        <v>#REF!</v>
      </c>
      <c r="U126" s="145" t="e">
        <f t="shared" si="77"/>
        <v>#REF!</v>
      </c>
      <c r="V126" s="145" t="e">
        <f t="shared" si="77"/>
        <v>#REF!</v>
      </c>
      <c r="W126" s="145" t="e">
        <f t="shared" si="77"/>
        <v>#REF!</v>
      </c>
      <c r="X126" s="145" t="e">
        <f t="shared" si="77"/>
        <v>#REF!</v>
      </c>
      <c r="Y126" s="71"/>
      <c r="Z126" s="147" t="e">
        <f t="shared" si="76"/>
        <v>#REF!</v>
      </c>
      <c r="AA126" s="147" t="e">
        <f>1/SUMIFS(#REF!,#REF!,Analytica!$C126,#REF!,RIGHT(Analytica!$D126,3))</f>
        <v>#REF!</v>
      </c>
      <c r="AB126" s="147" t="e">
        <f>1/SUMIFS(#REF!,#REF!,Analytica!$C126,#REF!,RIGHT(Analytica!$D126,3))</f>
        <v>#REF!</v>
      </c>
      <c r="AC126" s="147" t="e">
        <f>1/SUMIFS(#REF!,#REF!,Analytica!$C126,#REF!,RIGHT(Analytica!$D126,3))</f>
        <v>#REF!</v>
      </c>
      <c r="AD126" s="147" t="e">
        <f>1/SUMIFS(#REF!,#REF!,Analytica!$C126,#REF!,RIGHT(Analytica!$D126,3))</f>
        <v>#REF!</v>
      </c>
      <c r="AE126" s="193" t="e">
        <f>1/SUMIFS(#REF!,#REF!,Analytica!$C126,#REF!,RIGHT(Analytica!$D126,3))</f>
        <v>#REF!</v>
      </c>
      <c r="AF126" s="193"/>
      <c r="AG126" s="194"/>
      <c r="AH126" s="194"/>
      <c r="AI126" s="194"/>
      <c r="AJ126" s="194"/>
      <c r="AK126" s="149"/>
      <c r="AL126" s="149"/>
      <c r="AM126" s="149"/>
      <c r="AN126" s="149"/>
      <c r="AO126" s="149"/>
      <c r="AP126" s="149"/>
      <c r="AQ126" s="149"/>
      <c r="AR126" s="152"/>
      <c r="AS126" s="150"/>
      <c r="AT126" s="151"/>
      <c r="AU126" s="152"/>
      <c r="AV126" s="152"/>
      <c r="AW126" s="152"/>
      <c r="AX126" s="152"/>
      <c r="AY126" s="153"/>
      <c r="BA126" s="154">
        <f t="shared" si="73"/>
        <v>0</v>
      </c>
      <c r="BC126" s="91" t="e">
        <f>#REF!-BC124</f>
        <v>#REF!</v>
      </c>
      <c r="BE126" s="63" t="s">
        <v>389</v>
      </c>
    </row>
    <row r="127" spans="1:57" x14ac:dyDescent="0.25">
      <c r="A127" s="63" t="str">
        <f t="shared" si="74"/>
        <v>SUVBGS</v>
      </c>
      <c r="B127" s="63" t="str">
        <f>D127&amp;C127&amp;"-N"</f>
        <v>TPPRSUVBGS-N</v>
      </c>
      <c r="C127" s="63" t="s">
        <v>337</v>
      </c>
      <c r="D127" s="63" t="s">
        <v>283</v>
      </c>
      <c r="E127" s="63" t="s">
        <v>391</v>
      </c>
      <c r="F127" s="144">
        <f>F124</f>
        <v>2.4E-2</v>
      </c>
      <c r="G127" s="145">
        <f>G124</f>
        <v>19920.095193486901</v>
      </c>
      <c r="H127" s="145">
        <f t="shared" si="75"/>
        <v>19920.095193486901</v>
      </c>
      <c r="I127" s="145">
        <f t="shared" si="75"/>
        <v>17667.539528454752</v>
      </c>
      <c r="J127" s="145">
        <f t="shared" si="75"/>
        <v>13897.778829577146</v>
      </c>
      <c r="K127" s="145">
        <f t="shared" si="75"/>
        <v>6764.7751981294105</v>
      </c>
      <c r="L127" s="145">
        <f t="shared" si="75"/>
        <v>2037.5111345637988</v>
      </c>
      <c r="M127" s="145">
        <f t="shared" si="66"/>
        <v>1</v>
      </c>
      <c r="N127" s="145">
        <f t="shared" si="56"/>
        <v>0.88692043671715748</v>
      </c>
      <c r="O127" s="145">
        <f t="shared" si="56"/>
        <v>0.69767632607103114</v>
      </c>
      <c r="P127" s="145">
        <f t="shared" si="56"/>
        <v>0.33959552564493917</v>
      </c>
      <c r="Q127" s="145">
        <f t="shared" si="56"/>
        <v>0.10228420671553748</v>
      </c>
      <c r="R127" s="145">
        <f t="shared" si="56"/>
        <v>5.020056331492639E-5</v>
      </c>
      <c r="S127" s="145">
        <v>19.276653567548493</v>
      </c>
      <c r="T127" s="145">
        <f>S127</f>
        <v>19.276653567548493</v>
      </c>
      <c r="U127" s="145">
        <f t="shared" ref="U127:X130" si="78">T127/((1+U$57)^(U$58-T$58))</f>
        <v>17.112099801570785</v>
      </c>
      <c r="V127" s="145">
        <f t="shared" si="78"/>
        <v>14.744935664973244</v>
      </c>
      <c r="W127" s="145">
        <f t="shared" si="78"/>
        <v>12.705227896359204</v>
      </c>
      <c r="X127" s="145">
        <f t="shared" si="78"/>
        <v>10.947678549855311</v>
      </c>
      <c r="Y127" s="71"/>
      <c r="Z127" s="147" t="e">
        <f t="shared" si="76"/>
        <v>#REF!</v>
      </c>
      <c r="AA127" s="147" t="e">
        <f>1/SUMIFS(#REF!,#REF!,Analytica!$C127,#REF!,RIGHT(Analytica!$D127,3))</f>
        <v>#REF!</v>
      </c>
      <c r="AB127" s="147" t="e">
        <f>1/SUMIFS(#REF!,#REF!,Analytica!$C127,#REF!,RIGHT(Analytica!$D127,3))</f>
        <v>#REF!</v>
      </c>
      <c r="AC127" s="147" t="e">
        <f>1/SUMIFS(#REF!,#REF!,Analytica!$C127,#REF!,RIGHT(Analytica!$D127,3))</f>
        <v>#REF!</v>
      </c>
      <c r="AD127" s="147" t="e">
        <f>1/SUMIFS(#REF!,#REF!,Analytica!$C127,#REF!,RIGHT(Analytica!$D127,3))</f>
        <v>#REF!</v>
      </c>
      <c r="AE127" s="193" t="e">
        <f>1/SUMIFS(#REF!,#REF!,Analytica!$C127,#REF!,RIGHT(Analytica!$D127,3))</f>
        <v>#REF!</v>
      </c>
      <c r="AF127" s="193"/>
      <c r="AG127" s="194"/>
      <c r="AH127" s="194"/>
      <c r="AI127" s="194"/>
      <c r="AJ127" s="194"/>
      <c r="AK127" s="149"/>
      <c r="AL127" s="149"/>
      <c r="AM127" s="149"/>
      <c r="AN127" s="149"/>
      <c r="AO127" s="149"/>
      <c r="AP127" s="149"/>
      <c r="AQ127" s="149"/>
      <c r="AR127" s="152"/>
      <c r="AS127" s="150"/>
      <c r="AT127" s="151"/>
      <c r="AU127" s="152"/>
      <c r="AV127" s="152"/>
      <c r="AW127" s="152"/>
      <c r="AX127" s="152"/>
      <c r="AY127" s="153"/>
      <c r="BA127" s="154">
        <f t="shared" si="73"/>
        <v>0</v>
      </c>
      <c r="BC127" s="90" t="e">
        <f>#REF!-BC125</f>
        <v>#REF!</v>
      </c>
      <c r="BD127" s="90"/>
      <c r="BE127" s="63" t="s">
        <v>389</v>
      </c>
    </row>
    <row r="128" spans="1:57" x14ac:dyDescent="0.25">
      <c r="A128" s="63" t="str">
        <f t="shared" si="74"/>
        <v>SUVELC</v>
      </c>
      <c r="B128" s="63" t="str">
        <f>D128&amp;C128&amp;"-N"</f>
        <v>TPPRSUVELC-N</v>
      </c>
      <c r="C128" s="63" t="s">
        <v>250</v>
      </c>
      <c r="D128" s="63" t="s">
        <v>283</v>
      </c>
      <c r="E128" s="65" t="s">
        <v>287</v>
      </c>
      <c r="F128" s="144">
        <f>F125</f>
        <v>2.4E-2</v>
      </c>
      <c r="G128" s="145">
        <f>G125</f>
        <v>22250.436222693301</v>
      </c>
      <c r="H128" s="145">
        <f t="shared" si="75"/>
        <v>22250.436222693301</v>
      </c>
      <c r="I128" s="145">
        <f t="shared" si="75"/>
        <v>19734.366611778401</v>
      </c>
      <c r="J128" s="145">
        <f t="shared" si="75"/>
        <v>15523.602597326451</v>
      </c>
      <c r="K128" s="145">
        <f t="shared" si="75"/>
        <v>7556.1485848747261</v>
      </c>
      <c r="L128" s="145">
        <f t="shared" si="75"/>
        <v>2275.8682181128447</v>
      </c>
      <c r="M128" s="145">
        <f t="shared" si="66"/>
        <v>1</v>
      </c>
      <c r="N128" s="145">
        <f t="shared" si="56"/>
        <v>0.88692043671715748</v>
      </c>
      <c r="O128" s="145">
        <f t="shared" si="56"/>
        <v>0.69767632607103103</v>
      </c>
      <c r="P128" s="145">
        <f t="shared" si="56"/>
        <v>0.33959552564493917</v>
      </c>
      <c r="Q128" s="145">
        <f t="shared" si="56"/>
        <v>0.10228420671553749</v>
      </c>
      <c r="R128" s="145">
        <f t="shared" si="56"/>
        <v>4.4942939095283732E-5</v>
      </c>
      <c r="S128" s="161">
        <v>20.2766535675485</v>
      </c>
      <c r="T128" s="71">
        <f>S128</f>
        <v>20.2766535675485</v>
      </c>
      <c r="U128" s="145">
        <f t="shared" si="78"/>
        <v>17.999810925371779</v>
      </c>
      <c r="V128" s="145">
        <f t="shared" si="78"/>
        <v>15.509847251587836</v>
      </c>
      <c r="W128" s="145">
        <f t="shared" si="78"/>
        <v>13.364327145709623</v>
      </c>
      <c r="X128" s="145">
        <f t="shared" si="78"/>
        <v>11.515602775473257</v>
      </c>
      <c r="Y128" s="71"/>
      <c r="Z128" s="147" t="e">
        <f t="shared" si="76"/>
        <v>#REF!</v>
      </c>
      <c r="AA128" s="147" t="e">
        <f>1/SUMIFS(#REF!,#REF!,Analytica!$C128,#REF!,RIGHT(Analytica!$D128,3))</f>
        <v>#REF!</v>
      </c>
      <c r="AB128" s="147" t="e">
        <f>1/SUMIFS(#REF!,#REF!,Analytica!$C128,#REF!,RIGHT(Analytica!$D128,3))</f>
        <v>#REF!</v>
      </c>
      <c r="AC128" s="147" t="e">
        <f>1/SUMIFS(#REF!,#REF!,Analytica!$C128,#REF!,RIGHT(Analytica!$D128,3))</f>
        <v>#REF!</v>
      </c>
      <c r="AD128" s="147" t="e">
        <f>1/SUMIFS(#REF!,#REF!,Analytica!$C128,#REF!,RIGHT(Analytica!$D128,3))</f>
        <v>#REF!</v>
      </c>
      <c r="AE128" s="193" t="e">
        <f>1/SUMIFS(#REF!,#REF!,Analytica!$C128,#REF!,RIGHT(Analytica!$D128,3))</f>
        <v>#REF!</v>
      </c>
      <c r="AF128" s="193"/>
      <c r="AG128" s="194"/>
      <c r="AH128" s="193"/>
      <c r="AI128" s="194"/>
      <c r="AJ128" s="194"/>
      <c r="AK128" s="149"/>
      <c r="AL128" s="149"/>
      <c r="AM128" s="149"/>
      <c r="AN128" s="149"/>
      <c r="AO128" s="149"/>
      <c r="AP128" s="149"/>
      <c r="AQ128" s="149"/>
      <c r="AR128" s="152"/>
      <c r="AS128" s="150"/>
      <c r="AT128" s="151"/>
      <c r="AU128" s="152"/>
      <c r="AV128" s="152"/>
      <c r="AW128" s="152"/>
      <c r="AX128" s="152"/>
      <c r="AY128" s="153"/>
      <c r="BA128" s="154">
        <f t="shared" si="73"/>
        <v>0</v>
      </c>
      <c r="BC128" s="90" t="e">
        <f>#REF!-BC126</f>
        <v>#REF!</v>
      </c>
      <c r="BE128" s="63" t="s">
        <v>389</v>
      </c>
    </row>
    <row r="129" spans="1:56" x14ac:dyDescent="0.25">
      <c r="A129" s="63" t="str">
        <f t="shared" si="74"/>
        <v>MOTOGS</v>
      </c>
      <c r="B129" s="63" t="s">
        <v>392</v>
      </c>
      <c r="C129" s="63" t="s">
        <v>241</v>
      </c>
      <c r="D129" s="63" t="s">
        <v>289</v>
      </c>
      <c r="E129" s="63" t="s">
        <v>290</v>
      </c>
      <c r="F129" s="144">
        <f>INDEX($F$17:$F$49,MATCH($E129,$E$17:$E$49,0))</f>
        <v>1.4999999999999999E-2</v>
      </c>
      <c r="G129" s="145">
        <f>G41</f>
        <v>11451.6721676383</v>
      </c>
      <c r="H129" s="145">
        <f t="shared" si="75"/>
        <v>11451.6721676383</v>
      </c>
      <c r="I129" s="145">
        <f t="shared" si="75"/>
        <v>10624.214261096413</v>
      </c>
      <c r="J129" s="145">
        <f t="shared" si="75"/>
        <v>9144.3459577745343</v>
      </c>
      <c r="K129" s="145">
        <f t="shared" si="75"/>
        <v>5830.6924108458106</v>
      </c>
      <c r="L129" s="145">
        <f t="shared" si="75"/>
        <v>2754.2240742044319</v>
      </c>
      <c r="M129" s="145">
        <f t="shared" si="66"/>
        <v>1</v>
      </c>
      <c r="N129" s="145">
        <f t="shared" si="56"/>
        <v>0.92774348632855286</v>
      </c>
      <c r="O129" s="145">
        <f t="shared" si="56"/>
        <v>0.79851621875937706</v>
      </c>
      <c r="P129" s="145">
        <f t="shared" si="56"/>
        <v>0.50915642060754918</v>
      </c>
      <c r="Q129" s="145">
        <f t="shared" si="56"/>
        <v>0.24050846320834215</v>
      </c>
      <c r="R129" s="145">
        <f t="shared" si="56"/>
        <v>8.7323491745243691E-5</v>
      </c>
      <c r="S129" s="71">
        <f>W41</f>
        <v>4.9995594866529798</v>
      </c>
      <c r="T129" s="145">
        <f>S129/((1+T$57)^(T$58-S$58))</f>
        <v>4.572308094547143</v>
      </c>
      <c r="U129" s="145">
        <f t="shared" si="78"/>
        <v>4.0588887569747962</v>
      </c>
      <c r="V129" s="145">
        <f t="shared" si="78"/>
        <v>3.4974114390907718</v>
      </c>
      <c r="W129" s="145">
        <f t="shared" si="78"/>
        <v>3.0136048329148473</v>
      </c>
      <c r="X129" s="145">
        <f t="shared" si="78"/>
        <v>2.596724533882333</v>
      </c>
      <c r="Y129" s="71"/>
      <c r="Z129" s="147" t="e">
        <f t="shared" si="76"/>
        <v>#REF!</v>
      </c>
      <c r="AA129" s="147" t="e">
        <f>1/SUMIFS(#REF!,#REF!,Analytica!$C129,#REF!,RIGHT(Analytica!$D129,3))</f>
        <v>#REF!</v>
      </c>
      <c r="AB129" s="147" t="e">
        <f>1/SUMIFS(#REF!,#REF!,Analytica!$C129,#REF!,RIGHT(Analytica!$D129,3))</f>
        <v>#REF!</v>
      </c>
      <c r="AC129" s="147" t="e">
        <f>1/SUMIFS(#REF!,#REF!,Analytica!$C129,#REF!,RIGHT(Analytica!$D129,3))</f>
        <v>#REF!</v>
      </c>
      <c r="AD129" s="147" t="e">
        <f>1/SUMIFS(#REF!,#REF!,Analytica!$C129,#REF!,RIGHT(Analytica!$D129,3))</f>
        <v>#REF!</v>
      </c>
      <c r="AE129" s="193" t="e">
        <f>1/SUMIFS(#REF!,#REF!,Analytica!$C129,#REF!,RIGHT(Analytica!$D129,3))</f>
        <v>#REF!</v>
      </c>
      <c r="AF129" s="193"/>
      <c r="AG129" s="194"/>
      <c r="AH129" s="194">
        <v>332.33640000000003</v>
      </c>
      <c r="AI129" s="194">
        <v>332.33640000000003</v>
      </c>
      <c r="AJ129" s="194"/>
      <c r="AK129" s="149"/>
      <c r="AL129" s="149"/>
      <c r="AM129" s="149"/>
      <c r="AN129" s="149"/>
      <c r="AO129" s="149"/>
      <c r="AP129" s="149"/>
      <c r="AQ129" s="149"/>
      <c r="AR129" s="152"/>
      <c r="AS129" s="150"/>
      <c r="AT129" s="151"/>
      <c r="AU129" s="152"/>
      <c r="AV129" s="152"/>
      <c r="AW129" s="152"/>
      <c r="AX129" s="152"/>
      <c r="AY129" s="153"/>
      <c r="BA129" s="154">
        <f t="shared" si="73"/>
        <v>1</v>
      </c>
    </row>
    <row r="130" spans="1:56" x14ac:dyDescent="0.25">
      <c r="A130" s="63" t="str">
        <f t="shared" si="74"/>
        <v>MOTELC</v>
      </c>
      <c r="B130" s="63" t="str">
        <f>D130&amp;C130&amp;"-N"</f>
        <v>TPPRMOTELC-N</v>
      </c>
      <c r="C130" s="63" t="s">
        <v>250</v>
      </c>
      <c r="D130" s="63" t="s">
        <v>289</v>
      </c>
      <c r="E130" s="65" t="s">
        <v>393</v>
      </c>
      <c r="F130" s="144">
        <f>INDEX($F$17:$F$49,MATCH($E129,$E$17:$E$49,0))</f>
        <v>1.4999999999999999E-2</v>
      </c>
      <c r="G130" s="159">
        <f>G41</f>
        <v>11451.6721676383</v>
      </c>
      <c r="H130" s="145">
        <f t="shared" si="75"/>
        <v>11451.6721676383</v>
      </c>
      <c r="I130" s="145">
        <f t="shared" si="75"/>
        <v>10624.214261096413</v>
      </c>
      <c r="J130" s="145">
        <f t="shared" si="75"/>
        <v>9144.3459577745343</v>
      </c>
      <c r="K130" s="145">
        <f t="shared" si="75"/>
        <v>5830.6924108458106</v>
      </c>
      <c r="L130" s="145">
        <f t="shared" si="75"/>
        <v>2754.2240742044319</v>
      </c>
      <c r="M130" s="145">
        <f t="shared" si="66"/>
        <v>1</v>
      </c>
      <c r="N130" s="145">
        <f t="shared" si="56"/>
        <v>0.92774348632855286</v>
      </c>
      <c r="O130" s="145">
        <f t="shared" si="56"/>
        <v>0.79851621875937706</v>
      </c>
      <c r="P130" s="145">
        <f t="shared" si="56"/>
        <v>0.50915642060754918</v>
      </c>
      <c r="Q130" s="145">
        <f t="shared" si="56"/>
        <v>0.24050846320834215</v>
      </c>
      <c r="R130" s="145">
        <f t="shared" si="56"/>
        <v>8.7323491745243691E-5</v>
      </c>
      <c r="S130" s="161">
        <f>W41</f>
        <v>4.9995594866529798</v>
      </c>
      <c r="T130" s="71">
        <f>S130/((1+T$57)^(T$58-S$58))</f>
        <v>4.572308094547143</v>
      </c>
      <c r="U130" s="145">
        <f t="shared" si="78"/>
        <v>4.0588887569747962</v>
      </c>
      <c r="V130" s="145">
        <f t="shared" si="78"/>
        <v>3.4974114390907718</v>
      </c>
      <c r="W130" s="145">
        <f t="shared" si="78"/>
        <v>3.0136048329148473</v>
      </c>
      <c r="X130" s="145">
        <f t="shared" si="78"/>
        <v>2.596724533882333</v>
      </c>
      <c r="Y130" s="71"/>
      <c r="Z130" s="147" t="e">
        <f t="shared" si="76"/>
        <v>#REF!</v>
      </c>
      <c r="AA130" s="147" t="e">
        <f>1/SUMIFS(#REF!,#REF!,Analytica!$C130,#REF!,RIGHT(Analytica!$D130,3))</f>
        <v>#REF!</v>
      </c>
      <c r="AB130" s="147" t="e">
        <f>1/SUMIFS(#REF!,#REF!,Analytica!$C130,#REF!,RIGHT(Analytica!$D130,3))</f>
        <v>#REF!</v>
      </c>
      <c r="AC130" s="147" t="e">
        <f>1/SUMIFS(#REF!,#REF!,Analytica!$C130,#REF!,RIGHT(Analytica!$D130,3))</f>
        <v>#REF!</v>
      </c>
      <c r="AD130" s="147" t="e">
        <f>1/SUMIFS(#REF!,#REF!,Analytica!$C130,#REF!,RIGHT(Analytica!$D130,3))</f>
        <v>#REF!</v>
      </c>
      <c r="AE130" s="193" t="e">
        <f>1/SUMIFS(#REF!,#REF!,Analytica!$C130,#REF!,RIGHT(Analytica!$D130,3))</f>
        <v>#REF!</v>
      </c>
      <c r="AF130" s="193"/>
      <c r="AG130" s="194"/>
      <c r="AH130" s="193">
        <v>332.33640000000003</v>
      </c>
      <c r="AI130" s="194">
        <v>332.33640000000003</v>
      </c>
      <c r="AJ130" s="194"/>
      <c r="AK130" s="149"/>
      <c r="AL130" s="149"/>
      <c r="AM130" s="149"/>
      <c r="AN130" s="149"/>
      <c r="AO130" s="149"/>
      <c r="AP130" s="149"/>
      <c r="AQ130" s="149"/>
      <c r="AR130" s="152"/>
      <c r="AS130" s="150"/>
      <c r="AT130" s="151"/>
      <c r="AU130" s="152"/>
      <c r="AV130" s="152"/>
      <c r="AW130" s="152"/>
      <c r="AX130" s="152"/>
      <c r="AY130" s="153"/>
      <c r="BA130" s="154">
        <f t="shared" si="73"/>
        <v>0</v>
      </c>
      <c r="BC130" s="90"/>
    </row>
    <row r="131" spans="1:56" x14ac:dyDescent="0.25">
      <c r="A131" s="63" t="str">
        <f t="shared" si="74"/>
        <v>BRTODS</v>
      </c>
      <c r="B131" s="63" t="s">
        <v>394</v>
      </c>
      <c r="C131" s="63" t="s">
        <v>234</v>
      </c>
      <c r="D131" s="63" t="str">
        <f>LEFT(B131,7)</f>
        <v>TPPUBRT</v>
      </c>
      <c r="E131" s="63" t="s">
        <v>395</v>
      </c>
      <c r="F131" s="144">
        <f>F59</f>
        <v>0.06</v>
      </c>
      <c r="G131" s="145">
        <f>G59</f>
        <v>53296.583187381897</v>
      </c>
      <c r="H131" s="145">
        <f t="shared" si="75"/>
        <v>53296.583187381897</v>
      </c>
      <c r="I131" s="145">
        <f t="shared" si="75"/>
        <v>39483.079925291415</v>
      </c>
      <c r="J131" s="145">
        <f t="shared" si="75"/>
        <v>21668.773691830389</v>
      </c>
      <c r="K131" s="145">
        <f t="shared" si="75"/>
        <v>3581.8242003847272</v>
      </c>
      <c r="L131" s="145">
        <f t="shared" si="75"/>
        <v>178.32852634622401</v>
      </c>
      <c r="M131" s="71">
        <v>1</v>
      </c>
      <c r="N131" s="71">
        <f>N59</f>
        <v>0.74081822068171788</v>
      </c>
      <c r="O131" s="71">
        <f>O59</f>
        <v>0.40656965974059905</v>
      </c>
      <c r="P131" s="71">
        <f>P59</f>
        <v>6.720551273974977E-2</v>
      </c>
      <c r="Q131" s="71">
        <f>Q59</f>
        <v>3.3459654574712729E-3</v>
      </c>
      <c r="R131" s="71">
        <f>R59</f>
        <v>1.8762928882029207E-5</v>
      </c>
      <c r="S131" s="71">
        <f t="shared" ref="S131:X131" si="79">S59/1.15</f>
        <v>27.147826086956524</v>
      </c>
      <c r="T131" s="71">
        <f t="shared" si="79"/>
        <v>35.468256497682354</v>
      </c>
      <c r="U131" s="71">
        <f t="shared" si="79"/>
        <v>33.410225124654424</v>
      </c>
      <c r="V131" s="71">
        <f t="shared" si="79"/>
        <v>31.004794263867016</v>
      </c>
      <c r="W131" s="71">
        <f t="shared" si="79"/>
        <v>28.77254684031897</v>
      </c>
      <c r="X131" s="71">
        <f t="shared" si="79"/>
        <v>26.70101419260622</v>
      </c>
      <c r="Y131" s="71"/>
      <c r="Z131" s="147" t="e">
        <f t="shared" si="76"/>
        <v>#REF!</v>
      </c>
      <c r="AA131" s="147" t="e">
        <f>1/SUMIFS(#REF!,#REF!,Analytica!$C131,#REF!,RIGHT(Analytica!$D131,3))</f>
        <v>#REF!</v>
      </c>
      <c r="AB131" s="147" t="e">
        <f>1/SUMIFS(#REF!,#REF!,Analytica!$C131,#REF!,RIGHT(Analytica!$D131,3))</f>
        <v>#REF!</v>
      </c>
      <c r="AC131" s="147" t="e">
        <f>1/SUMIFS(#REF!,#REF!,Analytica!$C131,#REF!,RIGHT(Analytica!$D131,3))</f>
        <v>#REF!</v>
      </c>
      <c r="AD131" s="147" t="e">
        <f>1/SUMIFS(#REF!,#REF!,Analytica!$C131,#REF!,RIGHT(Analytica!$D131,3))</f>
        <v>#REF!</v>
      </c>
      <c r="AE131" s="193" t="e">
        <f>1/SUMIFS(#REF!,#REF!,Analytica!$C131,#REF!,RIGHT(Analytica!$D131,3))</f>
        <v>#REF!</v>
      </c>
      <c r="AF131" s="193"/>
      <c r="AG131" s="194"/>
      <c r="AH131" s="194">
        <f>AH59</f>
        <v>306.87549999999999</v>
      </c>
      <c r="AI131" s="194">
        <f>AI59</f>
        <v>636.66302862985685</v>
      </c>
      <c r="AJ131" s="194"/>
      <c r="AK131" s="149"/>
      <c r="AL131" s="149"/>
      <c r="AM131" s="149"/>
      <c r="AN131" s="149"/>
      <c r="AO131" s="149"/>
      <c r="AP131" s="149"/>
      <c r="AQ131" s="149"/>
      <c r="AR131" s="152"/>
      <c r="AS131" s="150"/>
      <c r="AT131" s="151"/>
      <c r="AU131" s="152"/>
      <c r="AV131" s="152"/>
      <c r="AW131" s="152"/>
      <c r="AX131" s="152"/>
      <c r="AY131" s="153"/>
      <c r="BA131" s="154">
        <v>1</v>
      </c>
    </row>
    <row r="132" spans="1:56" x14ac:dyDescent="0.25">
      <c r="A132" s="63" t="str">
        <f t="shared" si="74"/>
        <v>BRTGAS</v>
      </c>
      <c r="B132" s="63" t="str">
        <f>D132&amp;C132&amp;"-N"</f>
        <v>TPPUBRTGAS-N</v>
      </c>
      <c r="C132" s="63" t="s">
        <v>294</v>
      </c>
      <c r="D132" s="63" t="s">
        <v>396</v>
      </c>
      <c r="E132" s="63" t="s">
        <v>397</v>
      </c>
      <c r="F132" s="144">
        <f>F131</f>
        <v>0.06</v>
      </c>
      <c r="G132" s="145">
        <f>G59</f>
        <v>53296.583187381897</v>
      </c>
      <c r="H132" s="145">
        <f t="shared" si="75"/>
        <v>53296.583187381897</v>
      </c>
      <c r="I132" s="145">
        <f t="shared" si="75"/>
        <v>39483.079925291415</v>
      </c>
      <c r="J132" s="145">
        <f t="shared" si="75"/>
        <v>21668.773691830389</v>
      </c>
      <c r="K132" s="145">
        <f t="shared" si="75"/>
        <v>3581.8242003847272</v>
      </c>
      <c r="L132" s="145">
        <f t="shared" si="75"/>
        <v>178.32852634622401</v>
      </c>
      <c r="M132" s="145">
        <f t="shared" ref="M132:R134" si="80">M131</f>
        <v>1</v>
      </c>
      <c r="N132" s="145">
        <f t="shared" si="80"/>
        <v>0.74081822068171788</v>
      </c>
      <c r="O132" s="145">
        <f t="shared" si="80"/>
        <v>0.40656965974059905</v>
      </c>
      <c r="P132" s="145">
        <f t="shared" si="80"/>
        <v>6.720551273974977E-2</v>
      </c>
      <c r="Q132" s="145">
        <f t="shared" si="80"/>
        <v>3.3459654574712729E-3</v>
      </c>
      <c r="R132" s="145">
        <f t="shared" si="80"/>
        <v>1.8762928882029207E-5</v>
      </c>
      <c r="S132" s="71">
        <f t="shared" ref="S132:X132" si="81">S$70/S$67*S131</f>
        <v>27.718501109805462</v>
      </c>
      <c r="T132" s="71">
        <f t="shared" si="81"/>
        <v>33.650274126419248</v>
      </c>
      <c r="U132" s="71">
        <f t="shared" si="81"/>
        <v>34.112542169316832</v>
      </c>
      <c r="V132" s="71">
        <f t="shared" si="81"/>
        <v>31.656546695840198</v>
      </c>
      <c r="W132" s="71">
        <f t="shared" si="81"/>
        <v>29.377375152277629</v>
      </c>
      <c r="X132" s="71">
        <f t="shared" si="81"/>
        <v>27.262296773231572</v>
      </c>
      <c r="Y132" s="71"/>
      <c r="Z132" s="147" t="e">
        <f t="shared" si="76"/>
        <v>#REF!</v>
      </c>
      <c r="AA132" s="147" t="e">
        <f>1/SUMIFS(#REF!,#REF!,Analytica!$C132,#REF!,RIGHT(Analytica!$D132,3))</f>
        <v>#REF!</v>
      </c>
      <c r="AB132" s="147" t="e">
        <f>1/SUMIFS(#REF!,#REF!,Analytica!$C132,#REF!,RIGHT(Analytica!$D132,3))</f>
        <v>#REF!</v>
      </c>
      <c r="AC132" s="147" t="e">
        <f>1/SUMIFS(#REF!,#REF!,Analytica!$C132,#REF!,RIGHT(Analytica!$D132,3))</f>
        <v>#REF!</v>
      </c>
      <c r="AD132" s="147" t="e">
        <f>1/SUMIFS(#REF!,#REF!,Analytica!$C132,#REF!,RIGHT(Analytica!$D132,3))</f>
        <v>#REF!</v>
      </c>
      <c r="AE132" s="193" t="e">
        <f>1/SUMIFS(#REF!,#REF!,Analytica!$C132,#REF!,RIGHT(Analytica!$D132,3))</f>
        <v>#REF!</v>
      </c>
      <c r="AF132" s="193"/>
      <c r="AG132" s="194"/>
      <c r="AH132" s="194">
        <f>AH131*(1+$AR$57)</f>
        <v>337.56305000000003</v>
      </c>
      <c r="AI132" s="194">
        <f>AI131*(1+$AR$57)</f>
        <v>700.32933149284258</v>
      </c>
      <c r="AJ132" s="194"/>
      <c r="AK132" s="149"/>
      <c r="AL132" s="149"/>
      <c r="AM132" s="149"/>
      <c r="AN132" s="149"/>
      <c r="AO132" s="149"/>
      <c r="AP132" s="149"/>
      <c r="AQ132" s="149"/>
      <c r="AR132" s="152"/>
      <c r="AS132" s="150"/>
      <c r="AT132" s="151"/>
      <c r="AU132" s="152"/>
      <c r="AV132" s="152"/>
      <c r="AW132" s="152"/>
      <c r="AX132" s="152"/>
      <c r="AY132" s="153"/>
      <c r="BA132" s="154">
        <v>0</v>
      </c>
    </row>
    <row r="133" spans="1:56" x14ac:dyDescent="0.25">
      <c r="A133" s="63" t="str">
        <f t="shared" si="74"/>
        <v>BRTELC</v>
      </c>
      <c r="B133" s="63" t="str">
        <f>D133&amp;C133&amp;"-N"</f>
        <v>TPPUBRTELC-N</v>
      </c>
      <c r="C133" s="63" t="s">
        <v>250</v>
      </c>
      <c r="D133" s="63" t="s">
        <v>396</v>
      </c>
      <c r="E133" s="63" t="s">
        <v>398</v>
      </c>
      <c r="F133" s="144">
        <f>F132</f>
        <v>0.06</v>
      </c>
      <c r="G133" s="145">
        <f>G132</f>
        <v>53296.583187381897</v>
      </c>
      <c r="H133" s="145">
        <f t="shared" si="75"/>
        <v>53296.583187381897</v>
      </c>
      <c r="I133" s="145">
        <f t="shared" si="75"/>
        <v>39483.079925291415</v>
      </c>
      <c r="J133" s="145">
        <f t="shared" si="75"/>
        <v>21668.773691830389</v>
      </c>
      <c r="K133" s="145">
        <f t="shared" si="75"/>
        <v>3581.8242003847272</v>
      </c>
      <c r="L133" s="145">
        <f t="shared" si="75"/>
        <v>178.32852634622401</v>
      </c>
      <c r="M133" s="145">
        <f t="shared" si="80"/>
        <v>1</v>
      </c>
      <c r="N133" s="145">
        <f t="shared" si="80"/>
        <v>0.74081822068171788</v>
      </c>
      <c r="O133" s="145">
        <f t="shared" si="80"/>
        <v>0.40656965974059905</v>
      </c>
      <c r="P133" s="145">
        <f t="shared" si="80"/>
        <v>6.720551273974977E-2</v>
      </c>
      <c r="Q133" s="145">
        <f t="shared" si="80"/>
        <v>3.3459654574712729E-3</v>
      </c>
      <c r="R133" s="145">
        <f t="shared" si="80"/>
        <v>1.8762928882029207E-5</v>
      </c>
      <c r="S133" s="71">
        <f>S69/S65*S131</f>
        <v>56.834922156449522</v>
      </c>
      <c r="T133" s="145">
        <f>S133/((1+T$57)^(T$58-S$58))</f>
        <v>51.977934320541934</v>
      </c>
      <c r="U133" s="145">
        <f>T133/((1+U$57)^(U$58-T$58))</f>
        <v>46.141390488542193</v>
      </c>
      <c r="V133" s="145">
        <f>U133/((1+V$57)^(V$58-U$58))</f>
        <v>39.758524210074491</v>
      </c>
      <c r="W133" s="145">
        <f>V133/((1+W$57)^(W$58-V$58))</f>
        <v>34.258617493454345</v>
      </c>
      <c r="X133" s="145">
        <f>W133/((1+X$57)^(X$58-W$58))</f>
        <v>29.519528098214014</v>
      </c>
      <c r="Y133" s="71"/>
      <c r="Z133" s="147" t="e">
        <f t="shared" si="76"/>
        <v>#REF!</v>
      </c>
      <c r="AA133" s="147" t="e">
        <f>1/SUMIFS(#REF!,#REF!,Analytica!$C133,#REF!,RIGHT(Analytica!$D133,3))</f>
        <v>#REF!</v>
      </c>
      <c r="AB133" s="147" t="e">
        <f>1/SUMIFS(#REF!,#REF!,Analytica!$C133,#REF!,RIGHT(Analytica!$D133,3))</f>
        <v>#REF!</v>
      </c>
      <c r="AC133" s="147" t="e">
        <f>1/SUMIFS(#REF!,#REF!,Analytica!$C133,#REF!,RIGHT(Analytica!$D133,3))</f>
        <v>#REF!</v>
      </c>
      <c r="AD133" s="147" t="e">
        <f>1/SUMIFS(#REF!,#REF!,Analytica!$C133,#REF!,RIGHT(Analytica!$D133,3))</f>
        <v>#REF!</v>
      </c>
      <c r="AE133" s="193" t="e">
        <f>1/SUMIFS(#REF!,#REF!,Analytica!$C133,#REF!,RIGHT(Analytica!$D133,3))</f>
        <v>#REF!</v>
      </c>
      <c r="AF133" s="193"/>
      <c r="AG133" s="194">
        <v>1</v>
      </c>
      <c r="AH133" s="194">
        <f>AH131*AH69/AH67</f>
        <v>805.56077224193984</v>
      </c>
      <c r="AI133" s="194">
        <f>AI131*AI69/AI67</f>
        <v>961.96098128316271</v>
      </c>
      <c r="AJ133" s="194"/>
      <c r="AK133" s="149"/>
      <c r="AL133" s="149"/>
      <c r="AM133" s="149"/>
      <c r="AN133" s="149"/>
      <c r="AO133" s="149"/>
      <c r="AP133" s="149"/>
      <c r="AQ133" s="149"/>
      <c r="AR133" s="152"/>
      <c r="AS133" s="150"/>
      <c r="AT133" s="151"/>
      <c r="AU133" s="152"/>
      <c r="AV133" s="152"/>
      <c r="AW133" s="152"/>
      <c r="AX133" s="152"/>
      <c r="AY133" s="153"/>
      <c r="BA133" s="154">
        <v>0</v>
      </c>
    </row>
    <row r="134" spans="1:56" x14ac:dyDescent="0.25">
      <c r="A134" s="63" t="str">
        <f t="shared" si="74"/>
        <v>BRTBGS</v>
      </c>
      <c r="B134" s="63" t="str">
        <f>D134&amp;C134&amp;"-N"</f>
        <v>TPPUBRTBGS-N</v>
      </c>
      <c r="C134" s="63" t="s">
        <v>337</v>
      </c>
      <c r="D134" s="63" t="s">
        <v>396</v>
      </c>
      <c r="E134" s="63" t="s">
        <v>399</v>
      </c>
      <c r="F134" s="144">
        <f>F133</f>
        <v>0.06</v>
      </c>
      <c r="G134" s="145">
        <f>G133</f>
        <v>53296.583187381897</v>
      </c>
      <c r="H134" s="145">
        <f t="shared" si="75"/>
        <v>53296.583187381897</v>
      </c>
      <c r="I134" s="145">
        <f t="shared" si="75"/>
        <v>39483.079925291415</v>
      </c>
      <c r="J134" s="145">
        <f t="shared" si="75"/>
        <v>21668.773691830389</v>
      </c>
      <c r="K134" s="145">
        <f t="shared" si="75"/>
        <v>3581.8242003847272</v>
      </c>
      <c r="L134" s="145">
        <f t="shared" si="75"/>
        <v>178.32852634622401</v>
      </c>
      <c r="M134" s="145">
        <f t="shared" si="80"/>
        <v>1</v>
      </c>
      <c r="N134" s="145">
        <f t="shared" si="80"/>
        <v>0.74081822068171788</v>
      </c>
      <c r="O134" s="145">
        <f t="shared" si="80"/>
        <v>0.40656965974059905</v>
      </c>
      <c r="P134" s="145">
        <f t="shared" si="80"/>
        <v>6.720551273974977E-2</v>
      </c>
      <c r="Q134" s="145">
        <f t="shared" si="80"/>
        <v>3.3459654574712729E-3</v>
      </c>
      <c r="R134" s="145">
        <f t="shared" si="80"/>
        <v>1.8762928882029207E-5</v>
      </c>
      <c r="S134" s="145">
        <v>43.208930919335586</v>
      </c>
      <c r="T134" s="145">
        <f>S134</f>
        <v>43.208930919335586</v>
      </c>
      <c r="U134" s="145">
        <f>T134/((1+U$57)^(U$58-T$58))</f>
        <v>38.35704862464263</v>
      </c>
      <c r="V134" s="145">
        <f>U134/((1+V$57)^(V$58-U$58))</f>
        <v>33.051011905429043</v>
      </c>
      <c r="W134" s="145">
        <f>V134/((1+W$57)^(W$58-V$58))</f>
        <v>28.47897393416801</v>
      </c>
      <c r="X134" s="145">
        <f>W134/((1+X$57)^(X$58-W$58))</f>
        <v>24.539398632142802</v>
      </c>
      <c r="Y134" s="71"/>
      <c r="Z134" s="147" t="e">
        <f t="shared" si="76"/>
        <v>#REF!</v>
      </c>
      <c r="AA134" s="147" t="e">
        <f>1/SUMIFS(#REF!,#REF!,Analytica!$C134,#REF!,RIGHT(Analytica!$D134,3))</f>
        <v>#REF!</v>
      </c>
      <c r="AB134" s="147" t="e">
        <f>1/SUMIFS(#REF!,#REF!,Analytica!$C134,#REF!,RIGHT(Analytica!$D134,3))</f>
        <v>#REF!</v>
      </c>
      <c r="AC134" s="147" t="e">
        <f>1/SUMIFS(#REF!,#REF!,Analytica!$C134,#REF!,RIGHT(Analytica!$D134,3))</f>
        <v>#REF!</v>
      </c>
      <c r="AD134" s="147" t="e">
        <f>1/SUMIFS(#REF!,#REF!,Analytica!$C134,#REF!,RIGHT(Analytica!$D134,3))</f>
        <v>#REF!</v>
      </c>
      <c r="AE134" s="193" t="e">
        <f>1/SUMIFS(#REF!,#REF!,Analytica!$C134,#REF!,RIGHT(Analytica!$D134,3))</f>
        <v>#REF!</v>
      </c>
      <c r="AF134" s="193"/>
      <c r="AG134" s="194">
        <v>1</v>
      </c>
      <c r="AH134" s="194">
        <f>AH132*AH70/AH68</f>
        <v>371.31935500000009</v>
      </c>
      <c r="AI134" s="194">
        <f>AI132*AI70/AI68</f>
        <v>770.36226464212689</v>
      </c>
      <c r="AJ134" s="194"/>
      <c r="AK134" s="149"/>
      <c r="AL134" s="149"/>
      <c r="AM134" s="149"/>
      <c r="AN134" s="149"/>
      <c r="AO134" s="149"/>
      <c r="AP134" s="149"/>
      <c r="AQ134" s="149"/>
      <c r="AR134" s="152"/>
      <c r="AS134" s="150"/>
      <c r="AT134" s="151"/>
      <c r="AU134" s="152"/>
      <c r="AV134" s="152"/>
      <c r="AW134" s="152"/>
      <c r="AX134" s="152"/>
      <c r="AY134" s="153"/>
      <c r="BA134" s="154">
        <v>1</v>
      </c>
      <c r="BC134" s="90"/>
      <c r="BD134" s="90"/>
    </row>
    <row r="135" spans="1:56" x14ac:dyDescent="0.25">
      <c r="A135" s="63" t="str">
        <f t="shared" si="74"/>
        <v>BRTHGN</v>
      </c>
      <c r="B135" s="63" t="str">
        <f>D135&amp;C135&amp;"F-N"</f>
        <v>TPPUBRTHGNF-N</v>
      </c>
      <c r="C135" s="63" t="s">
        <v>334</v>
      </c>
      <c r="D135" s="63" t="s">
        <v>396</v>
      </c>
      <c r="E135" s="63" t="s">
        <v>400</v>
      </c>
      <c r="F135" s="144">
        <f>F134</f>
        <v>0.06</v>
      </c>
      <c r="G135" s="145">
        <f>G133</f>
        <v>53296.583187381897</v>
      </c>
      <c r="H135" s="145">
        <f t="shared" si="75"/>
        <v>53296.583187381897</v>
      </c>
      <c r="I135" s="145">
        <f t="shared" si="75"/>
        <v>39483.079925291415</v>
      </c>
      <c r="J135" s="145">
        <f t="shared" si="75"/>
        <v>21668.773691830389</v>
      </c>
      <c r="K135" s="145">
        <f t="shared" si="75"/>
        <v>3581.8242003847272</v>
      </c>
      <c r="L135" s="145">
        <f t="shared" si="75"/>
        <v>178.32852634622401</v>
      </c>
      <c r="M135" s="145">
        <f t="shared" ref="M135:R135" si="82">M133</f>
        <v>1</v>
      </c>
      <c r="N135" s="145">
        <f t="shared" si="82"/>
        <v>0.74081822068171788</v>
      </c>
      <c r="O135" s="145">
        <f t="shared" si="82"/>
        <v>0.40656965974059905</v>
      </c>
      <c r="P135" s="145">
        <f t="shared" si="82"/>
        <v>6.720551273974977E-2</v>
      </c>
      <c r="Q135" s="145">
        <f t="shared" si="82"/>
        <v>3.3459654574712729E-3</v>
      </c>
      <c r="R135" s="145">
        <f t="shared" si="82"/>
        <v>1.8762928882029207E-5</v>
      </c>
      <c r="S135" s="71">
        <f>S131</f>
        <v>27.147826086956524</v>
      </c>
      <c r="T135" s="71">
        <f>T61/T59*T131</f>
        <v>11.32852414678478</v>
      </c>
      <c r="U135" s="71">
        <f>U61/U59*U131</f>
        <v>10.056456901348938</v>
      </c>
      <c r="V135" s="71">
        <f>V61/V59*V131</f>
        <v>8.665319379118797</v>
      </c>
      <c r="W135" s="71">
        <f>W61/W59*W131</f>
        <v>7.4666217613938954</v>
      </c>
      <c r="X135" s="71">
        <f>X61/X59*X131</f>
        <v>6.4337433034568994</v>
      </c>
      <c r="Y135" s="71"/>
      <c r="Z135" s="147" t="e">
        <f t="shared" si="76"/>
        <v>#REF!</v>
      </c>
      <c r="AA135" s="147" t="e">
        <f>1/SUMIFS(#REF!,#REF!,Analytica!$C135,#REF!,RIGHT(Analytica!$D135,3))</f>
        <v>#REF!</v>
      </c>
      <c r="AB135" s="147" t="e">
        <f>1/SUMIFS(#REF!,#REF!,Analytica!$C135,#REF!,RIGHT(Analytica!$D135,3))</f>
        <v>#REF!</v>
      </c>
      <c r="AC135" s="147" t="e">
        <f>1/SUMIFS(#REF!,#REF!,Analytica!$C135,#REF!,RIGHT(Analytica!$D135,3))</f>
        <v>#REF!</v>
      </c>
      <c r="AD135" s="147" t="e">
        <f>1/SUMIFS(#REF!,#REF!,Analytica!$C135,#REF!,RIGHT(Analytica!$D135,3))</f>
        <v>#REF!</v>
      </c>
      <c r="AE135" s="193" t="e">
        <f>1/SUMIFS(#REF!,#REF!,Analytica!$C135,#REF!,RIGHT(Analytica!$D135,3))</f>
        <v>#REF!</v>
      </c>
      <c r="AF135" s="193"/>
      <c r="AG135" s="194">
        <v>1</v>
      </c>
      <c r="AH135" s="194"/>
      <c r="AI135" s="194"/>
      <c r="AJ135" s="194"/>
      <c r="AK135" s="149"/>
      <c r="AL135" s="149"/>
      <c r="AM135" s="149"/>
      <c r="AN135" s="149"/>
      <c r="AO135" s="149"/>
      <c r="AP135" s="149"/>
      <c r="AQ135" s="149"/>
      <c r="AR135" s="152"/>
      <c r="AS135" s="150"/>
      <c r="AT135" s="151"/>
      <c r="AU135" s="152"/>
      <c r="AV135" s="152"/>
      <c r="AW135" s="152"/>
      <c r="AX135" s="152"/>
      <c r="AY135" s="153"/>
      <c r="BA135" s="154">
        <v>0</v>
      </c>
    </row>
    <row r="136" spans="1:56" s="196" customFormat="1" x14ac:dyDescent="0.25">
      <c r="B136" s="196" t="s">
        <v>401</v>
      </c>
      <c r="C136" s="196" t="s">
        <v>250</v>
      </c>
      <c r="D136" s="196" t="str">
        <f>LEFT(B136,7)</f>
        <v>TPPUMER</v>
      </c>
      <c r="F136" s="197">
        <v>1</v>
      </c>
      <c r="G136" s="198"/>
      <c r="H136" s="198"/>
      <c r="I136" s="198"/>
      <c r="J136" s="198"/>
      <c r="K136" s="198"/>
      <c r="L136" s="198"/>
      <c r="M136" s="199">
        <f>M135</f>
        <v>1</v>
      </c>
      <c r="N136" s="198">
        <v>1</v>
      </c>
      <c r="O136" s="198">
        <v>1</v>
      </c>
      <c r="P136" s="198">
        <f>N136</f>
        <v>1</v>
      </c>
      <c r="Q136" s="198">
        <f t="shared" ref="Q136:S137" si="83">P136</f>
        <v>1</v>
      </c>
      <c r="R136" s="198">
        <f t="shared" si="83"/>
        <v>1</v>
      </c>
      <c r="S136" s="198">
        <f t="shared" si="83"/>
        <v>1</v>
      </c>
      <c r="T136" s="198"/>
      <c r="U136" s="198"/>
      <c r="V136" s="198"/>
      <c r="W136" s="198"/>
      <c r="X136" s="198"/>
      <c r="Y136" s="198"/>
      <c r="Z136" s="200">
        <f>X42</f>
        <v>7.0026980278615358</v>
      </c>
      <c r="AA136" s="200">
        <f>Z136</f>
        <v>7.0026980278615358</v>
      </c>
      <c r="AB136" s="200">
        <f>AA136</f>
        <v>7.0026980278615358</v>
      </c>
      <c r="AC136" s="200">
        <f>AB136</f>
        <v>7.0026980278615358</v>
      </c>
      <c r="AD136" s="200">
        <f>AC136</f>
        <v>7.0026980278615358</v>
      </c>
      <c r="AE136" s="200">
        <f>AD136</f>
        <v>7.0026980278615358</v>
      </c>
      <c r="AF136" s="200"/>
      <c r="AG136" s="198"/>
      <c r="AH136" s="198"/>
      <c r="AI136" s="198"/>
      <c r="AJ136" s="198"/>
      <c r="AK136" s="198">
        <v>1E-3</v>
      </c>
      <c r="AL136" s="198">
        <v>1E-3</v>
      </c>
      <c r="AM136" s="198">
        <v>1E-3</v>
      </c>
      <c r="AN136" s="198">
        <v>1E-3</v>
      </c>
      <c r="AO136" s="198">
        <v>1E-3</v>
      </c>
      <c r="AP136" s="198">
        <v>1E-3</v>
      </c>
      <c r="AQ136" s="198">
        <v>1E-3</v>
      </c>
      <c r="AR136" s="148"/>
      <c r="AS136" s="71"/>
      <c r="AT136" s="201">
        <f t="shared" ref="AT136:AT137" si="84">IF($C136&lt;&gt;$AY$55,$AX$56,$AX$55)</f>
        <v>2.0250000000000001E-2</v>
      </c>
      <c r="AU136" s="198">
        <f t="shared" ref="AU136:AV137" si="85">$AT136*AK136</f>
        <v>2.0250000000000001E-5</v>
      </c>
      <c r="AV136" s="198">
        <f t="shared" si="85"/>
        <v>2.0250000000000001E-5</v>
      </c>
      <c r="AW136" s="198">
        <f t="shared" ref="AW136:AW137" si="86">$AT136*AN136</f>
        <v>2.0250000000000001E-5</v>
      </c>
      <c r="AX136" s="198">
        <f t="shared" ref="AX136:AY137" si="87">$AT136*AP136</f>
        <v>2.0250000000000001E-5</v>
      </c>
      <c r="AY136" s="202">
        <f t="shared" si="87"/>
        <v>2.0250000000000001E-5</v>
      </c>
      <c r="AZ136" s="63"/>
    </row>
    <row r="137" spans="1:56" s="196" customFormat="1" x14ac:dyDescent="0.25">
      <c r="B137" s="196" t="s">
        <v>402</v>
      </c>
      <c r="C137" s="196" t="s">
        <v>250</v>
      </c>
      <c r="D137" s="196" t="str">
        <f>LEFT(B137,7)</f>
        <v>TPPUGAT</v>
      </c>
      <c r="F137" s="197">
        <v>1</v>
      </c>
      <c r="G137" s="198"/>
      <c r="H137" s="198"/>
      <c r="I137" s="198"/>
      <c r="J137" s="198"/>
      <c r="K137" s="198"/>
      <c r="L137" s="198"/>
      <c r="M137" s="199">
        <f>M136</f>
        <v>1</v>
      </c>
      <c r="N137" s="198">
        <v>1</v>
      </c>
      <c r="O137" s="198">
        <v>1</v>
      </c>
      <c r="P137" s="198">
        <f>N137</f>
        <v>1</v>
      </c>
      <c r="Q137" s="198">
        <f t="shared" si="83"/>
        <v>1</v>
      </c>
      <c r="R137" s="198">
        <f t="shared" si="83"/>
        <v>1</v>
      </c>
      <c r="S137" s="198">
        <f t="shared" si="83"/>
        <v>1</v>
      </c>
      <c r="T137" s="198"/>
      <c r="U137" s="198"/>
      <c r="V137" s="198"/>
      <c r="W137" s="198"/>
      <c r="X137" s="198"/>
      <c r="Y137" s="198"/>
      <c r="Z137" s="200">
        <f t="shared" ref="Z137:AE137" si="88">Z136</f>
        <v>7.0026980278615358</v>
      </c>
      <c r="AA137" s="200">
        <f t="shared" si="88"/>
        <v>7.0026980278615358</v>
      </c>
      <c r="AB137" s="200">
        <f t="shared" si="88"/>
        <v>7.0026980278615358</v>
      </c>
      <c r="AC137" s="200">
        <f t="shared" si="88"/>
        <v>7.0026980278615358</v>
      </c>
      <c r="AD137" s="200">
        <f t="shared" si="88"/>
        <v>7.0026980278615358</v>
      </c>
      <c r="AE137" s="200">
        <f t="shared" si="88"/>
        <v>7.0026980278615358</v>
      </c>
      <c r="AF137" s="200"/>
      <c r="AG137" s="198"/>
      <c r="AH137" s="198"/>
      <c r="AI137" s="198"/>
      <c r="AJ137" s="198"/>
      <c r="AK137" s="198">
        <v>1E-3</v>
      </c>
      <c r="AL137" s="198">
        <v>1E-3</v>
      </c>
      <c r="AM137" s="198">
        <v>1E-3</v>
      </c>
      <c r="AN137" s="198">
        <v>1E-3</v>
      </c>
      <c r="AO137" s="198">
        <v>1E-3</v>
      </c>
      <c r="AP137" s="198">
        <v>1E-3</v>
      </c>
      <c r="AQ137" s="198">
        <v>1E-3</v>
      </c>
      <c r="AR137" s="148"/>
      <c r="AS137" s="71"/>
      <c r="AT137" s="201">
        <f t="shared" si="84"/>
        <v>2.0250000000000001E-2</v>
      </c>
      <c r="AU137" s="198">
        <f t="shared" si="85"/>
        <v>2.0250000000000001E-5</v>
      </c>
      <c r="AV137" s="198">
        <f t="shared" si="85"/>
        <v>2.0250000000000001E-5</v>
      </c>
      <c r="AW137" s="198">
        <f t="shared" si="86"/>
        <v>2.0250000000000001E-5</v>
      </c>
      <c r="AX137" s="198">
        <f t="shared" si="87"/>
        <v>2.0250000000000001E-5</v>
      </c>
      <c r="AY137" s="202">
        <f t="shared" si="87"/>
        <v>2.0250000000000001E-5</v>
      </c>
      <c r="AZ137" s="63"/>
    </row>
    <row r="138" spans="1:56" ht="15.75" thickBot="1" x14ac:dyDescent="0.3">
      <c r="F138" s="203"/>
      <c r="G138" s="204"/>
      <c r="H138" s="204"/>
      <c r="I138" s="204"/>
      <c r="J138" s="204"/>
      <c r="K138" s="204"/>
      <c r="L138" s="204"/>
      <c r="M138" s="204"/>
      <c r="N138" s="204"/>
      <c r="O138" s="204"/>
      <c r="P138" s="204"/>
      <c r="Q138" s="204"/>
      <c r="R138" s="204"/>
      <c r="S138" s="204"/>
      <c r="T138" s="204"/>
      <c r="U138" s="204"/>
      <c r="V138" s="204"/>
      <c r="W138" s="204"/>
      <c r="X138" s="204"/>
      <c r="Y138" s="204"/>
      <c r="Z138" s="204"/>
      <c r="AA138" s="204"/>
      <c r="AB138" s="204"/>
      <c r="AC138" s="204"/>
      <c r="AD138" s="204"/>
      <c r="AE138" s="204"/>
      <c r="AF138" s="204"/>
      <c r="AG138" s="205"/>
      <c r="AH138" s="205"/>
      <c r="AI138" s="205"/>
      <c r="AJ138" s="205"/>
      <c r="AK138" s="205"/>
      <c r="AL138" s="205"/>
      <c r="AM138" s="205"/>
      <c r="AN138" s="205"/>
      <c r="AO138" s="205"/>
      <c r="AP138" s="205"/>
      <c r="AQ138" s="205"/>
      <c r="AR138" s="205"/>
      <c r="AS138" s="205"/>
      <c r="AT138" s="205"/>
      <c r="AU138" s="205"/>
      <c r="AV138" s="205"/>
      <c r="AW138" s="205"/>
      <c r="AX138" s="205"/>
      <c r="AY138" s="206"/>
      <c r="AZ138" s="65"/>
      <c r="BA138" s="65"/>
      <c r="BB138" s="65"/>
    </row>
    <row r="139" spans="1:56" x14ac:dyDescent="0.25">
      <c r="C139" s="86"/>
      <c r="AG139" s="65"/>
      <c r="AH139" s="65"/>
      <c r="AI139" s="65"/>
      <c r="AJ139" s="65"/>
      <c r="AK139" s="65"/>
      <c r="AL139" s="65"/>
      <c r="AM139" s="65"/>
      <c r="AN139" s="65"/>
      <c r="AO139" s="65"/>
      <c r="AP139" s="65"/>
      <c r="AQ139" s="65"/>
      <c r="AR139" s="65"/>
      <c r="AS139" s="65"/>
      <c r="AT139" s="65"/>
      <c r="AU139" s="65"/>
      <c r="AV139" s="65"/>
      <c r="AW139" s="65"/>
      <c r="AX139" s="65"/>
      <c r="AY139" s="65"/>
      <c r="AZ139" s="65"/>
      <c r="BA139" s="65"/>
      <c r="BB139" s="65"/>
    </row>
    <row r="140" spans="1:56" x14ac:dyDescent="0.25">
      <c r="T140" s="65"/>
      <c r="U140" s="65"/>
      <c r="V140" s="65"/>
      <c r="W140" s="65"/>
      <c r="X140" s="65"/>
      <c r="Y140" s="65"/>
      <c r="Z140" s="65"/>
      <c r="AA140" s="65"/>
      <c r="AB140" s="65"/>
      <c r="AC140" s="65"/>
      <c r="AD140" s="65"/>
      <c r="AE140" s="65"/>
      <c r="AF140" s="65"/>
      <c r="AG140" s="65"/>
      <c r="AH140" s="65"/>
      <c r="AI140" s="65"/>
      <c r="AJ140" s="65"/>
      <c r="AK140" s="65"/>
      <c r="AL140" s="65"/>
      <c r="AM140" s="65"/>
      <c r="AN140" s="65"/>
      <c r="AO140" s="65"/>
      <c r="AP140" s="65"/>
      <c r="AQ140" s="65"/>
      <c r="AR140" s="65"/>
      <c r="AS140" s="65"/>
      <c r="AT140" s="65"/>
      <c r="AU140" s="65"/>
      <c r="AV140" s="65"/>
      <c r="AW140" s="65"/>
      <c r="AX140" s="65"/>
      <c r="AY140" s="65"/>
      <c r="AZ140" s="65"/>
      <c r="BA140" s="65"/>
      <c r="BB140" s="65"/>
    </row>
    <row r="141" spans="1:56" x14ac:dyDescent="0.25">
      <c r="T141" s="65"/>
      <c r="U141" s="65"/>
      <c r="V141" s="65"/>
      <c r="W141" s="65"/>
      <c r="X141" s="65"/>
      <c r="Y141" s="65"/>
      <c r="Z141" s="65"/>
      <c r="AA141" s="65"/>
      <c r="AB141" s="65"/>
      <c r="AC141" s="65"/>
      <c r="AD141" s="65"/>
      <c r="AE141" s="65"/>
      <c r="AF141" s="65"/>
      <c r="AG141" s="65"/>
      <c r="AH141" s="65"/>
      <c r="AI141" s="65"/>
      <c r="AJ141" s="65"/>
      <c r="AK141" s="65"/>
      <c r="AL141" s="65"/>
      <c r="AM141" s="65"/>
      <c r="AN141" s="65"/>
      <c r="AO141" s="65"/>
      <c r="AP141" s="65"/>
      <c r="AQ141" s="65"/>
      <c r="AR141" s="65"/>
      <c r="AS141" s="65"/>
      <c r="AT141" s="65"/>
      <c r="AU141" s="65"/>
      <c r="AV141" s="65"/>
      <c r="AW141" s="65"/>
      <c r="AX141" s="65"/>
      <c r="AY141" s="65"/>
      <c r="AZ141" s="65"/>
      <c r="BA141" s="65"/>
      <c r="BB141" s="65"/>
    </row>
    <row r="142" spans="1:56" x14ac:dyDescent="0.25">
      <c r="T142" s="65"/>
      <c r="U142" s="65"/>
      <c r="V142" s="65"/>
      <c r="W142" s="65"/>
      <c r="X142" s="65"/>
      <c r="Y142" s="65"/>
      <c r="Z142" s="65"/>
      <c r="AA142" s="65"/>
      <c r="AB142" s="65"/>
      <c r="AC142" s="65"/>
      <c r="AD142" s="65"/>
      <c r="AE142" s="65"/>
      <c r="AF142" s="65"/>
      <c r="AG142" s="65"/>
      <c r="AH142" s="65"/>
      <c r="AI142" s="65"/>
      <c r="AJ142" s="65"/>
      <c r="AK142" s="65"/>
      <c r="AL142" s="65"/>
      <c r="AM142" s="65"/>
      <c r="AN142" s="65"/>
      <c r="AO142" s="65"/>
      <c r="AP142" s="65"/>
      <c r="AQ142" s="65"/>
      <c r="AR142" s="65"/>
      <c r="AS142" s="65"/>
      <c r="AT142" s="65"/>
      <c r="AU142" s="65"/>
      <c r="AV142" s="65"/>
      <c r="AW142" s="65"/>
      <c r="AX142" s="65"/>
      <c r="AY142" s="65"/>
      <c r="AZ142" s="65"/>
      <c r="BA142" s="65"/>
      <c r="BB142" s="65"/>
    </row>
    <row r="143" spans="1:56" x14ac:dyDescent="0.25">
      <c r="U143" s="65"/>
      <c r="V143" s="65"/>
      <c r="W143" s="65"/>
      <c r="X143" s="65"/>
      <c r="Y143" s="65"/>
      <c r="Z143" s="65"/>
      <c r="AA143" s="65"/>
      <c r="AB143" s="65"/>
      <c r="AC143" s="65"/>
      <c r="AD143" s="65"/>
      <c r="AE143" s="65"/>
      <c r="AF143" s="65"/>
      <c r="AG143" s="65"/>
      <c r="AH143" s="65"/>
      <c r="AI143" s="65"/>
      <c r="AJ143" s="65"/>
      <c r="AK143" s="65"/>
      <c r="AL143" s="65"/>
      <c r="AM143" s="65"/>
      <c r="AN143" s="65"/>
      <c r="AO143" s="65"/>
      <c r="AP143" s="65"/>
      <c r="AQ143" s="65"/>
      <c r="AR143" s="65"/>
      <c r="AS143" s="65"/>
      <c r="AT143" s="65"/>
      <c r="AU143" s="65"/>
      <c r="AV143" s="65"/>
      <c r="AW143" s="65"/>
      <c r="AX143" s="65"/>
      <c r="AY143" s="65"/>
      <c r="AZ143" s="65"/>
      <c r="BA143" s="65"/>
      <c r="BB143" s="65"/>
    </row>
    <row r="144" spans="1:56" x14ac:dyDescent="0.25">
      <c r="U144" s="65"/>
      <c r="V144" s="65"/>
      <c r="W144" s="65"/>
      <c r="X144" s="65"/>
      <c r="Y144" s="65"/>
      <c r="Z144" s="65"/>
      <c r="AA144" s="65"/>
      <c r="AB144" s="65"/>
      <c r="AC144" s="65"/>
      <c r="AD144" s="65"/>
      <c r="AE144" s="65"/>
      <c r="AF144" s="65"/>
      <c r="AG144" s="65"/>
      <c r="AH144" s="65"/>
      <c r="AI144" s="65"/>
      <c r="AJ144" s="65"/>
      <c r="AK144" s="65"/>
      <c r="AL144" s="65"/>
      <c r="AM144" s="65"/>
      <c r="AN144" s="65"/>
      <c r="AO144" s="65"/>
      <c r="AP144" s="65"/>
      <c r="AQ144" s="65"/>
      <c r="AR144" s="65"/>
      <c r="AS144" s="65"/>
      <c r="AT144" s="65"/>
      <c r="AU144" s="65"/>
      <c r="AV144" s="65"/>
      <c r="AW144" s="65"/>
      <c r="AX144" s="65"/>
      <c r="AY144" s="65"/>
      <c r="AZ144" s="65"/>
      <c r="BA144" s="65"/>
      <c r="BB144" s="65"/>
    </row>
    <row r="145" spans="2:54" x14ac:dyDescent="0.25">
      <c r="U145" s="65"/>
      <c r="V145" s="65"/>
      <c r="W145" s="65"/>
      <c r="X145" s="65"/>
      <c r="Y145" s="65"/>
      <c r="Z145" s="65"/>
      <c r="AA145" s="65"/>
      <c r="AB145" s="65"/>
      <c r="AC145" s="65"/>
      <c r="AD145" s="65"/>
      <c r="AE145" s="65"/>
      <c r="AF145" s="65"/>
      <c r="AG145" s="65"/>
      <c r="AH145" s="65"/>
      <c r="AI145" s="65"/>
      <c r="AJ145" s="65"/>
      <c r="AK145" s="65"/>
      <c r="AL145" s="65"/>
      <c r="AM145" s="65"/>
      <c r="AN145" s="65"/>
      <c r="AO145" s="65"/>
      <c r="AP145" s="65"/>
      <c r="AQ145" s="65"/>
      <c r="AR145" s="65"/>
      <c r="AS145" s="65"/>
      <c r="AT145" s="65"/>
      <c r="AU145" s="65"/>
      <c r="AV145" s="65"/>
      <c r="AW145" s="65"/>
      <c r="AX145" s="65"/>
      <c r="AY145" s="65"/>
      <c r="AZ145" s="65"/>
      <c r="BA145" s="65"/>
      <c r="BB145" s="65"/>
    </row>
    <row r="146" spans="2:54" x14ac:dyDescent="0.25">
      <c r="U146" s="65"/>
      <c r="V146" s="65"/>
      <c r="W146" s="65"/>
      <c r="X146" s="65"/>
      <c r="Y146" s="65"/>
      <c r="Z146" s="65"/>
      <c r="AA146" s="65"/>
      <c r="AB146" s="65"/>
      <c r="AC146" s="65"/>
      <c r="AD146" s="65"/>
      <c r="AE146" s="65"/>
      <c r="AF146" s="65"/>
      <c r="AG146" s="65"/>
      <c r="AH146" s="65"/>
      <c r="AI146" s="65"/>
      <c r="AJ146" s="65"/>
      <c r="AK146" s="65"/>
      <c r="AL146" s="65"/>
      <c r="AM146" s="65"/>
      <c r="AN146" s="65"/>
      <c r="AO146" s="65"/>
      <c r="AP146" s="65"/>
      <c r="AQ146" s="65"/>
      <c r="AR146" s="65"/>
      <c r="AS146" s="65"/>
      <c r="AT146" s="65"/>
      <c r="AU146" s="65"/>
      <c r="AV146" s="65"/>
      <c r="AW146" s="65"/>
      <c r="AX146" s="65"/>
      <c r="AY146" s="65"/>
      <c r="AZ146" s="65"/>
      <c r="BA146" s="65"/>
      <c r="BB146" s="65"/>
    </row>
    <row r="147" spans="2:54" x14ac:dyDescent="0.25">
      <c r="U147" s="65"/>
      <c r="V147" s="65"/>
      <c r="W147" s="65"/>
      <c r="X147" s="65"/>
      <c r="Y147" s="65"/>
      <c r="Z147" s="65"/>
      <c r="AA147" s="65"/>
      <c r="AB147" s="65"/>
      <c r="AC147" s="65"/>
      <c r="AD147" s="65"/>
      <c r="AE147" s="65"/>
      <c r="AF147" s="65"/>
      <c r="AG147" s="65"/>
      <c r="AH147" s="65"/>
      <c r="AI147" s="65"/>
      <c r="AJ147" s="65"/>
      <c r="AK147" s="65"/>
      <c r="AL147" s="65"/>
      <c r="AM147" s="65"/>
      <c r="AN147" s="65"/>
      <c r="AO147" s="65"/>
      <c r="AP147" s="65"/>
      <c r="AQ147" s="65"/>
      <c r="AR147" s="65"/>
      <c r="AS147" s="65"/>
      <c r="AT147" s="65"/>
      <c r="AU147" s="65"/>
      <c r="AV147" s="65"/>
      <c r="AW147" s="65"/>
      <c r="AX147" s="65"/>
      <c r="AY147" s="65"/>
      <c r="AZ147" s="65"/>
      <c r="BA147" s="65"/>
      <c r="BB147" s="65"/>
    </row>
    <row r="148" spans="2:54" x14ac:dyDescent="0.25">
      <c r="U148" s="65"/>
      <c r="V148" s="65"/>
      <c r="W148" s="65"/>
      <c r="X148" s="65"/>
      <c r="Y148" s="65"/>
      <c r="Z148" s="65"/>
      <c r="AA148" s="65"/>
      <c r="AB148" s="65"/>
      <c r="AC148" s="65"/>
      <c r="AD148" s="65"/>
      <c r="AE148" s="65"/>
      <c r="AF148" s="65"/>
      <c r="AG148" s="65"/>
      <c r="AH148" s="65"/>
      <c r="AI148" s="65"/>
      <c r="AJ148" s="65"/>
      <c r="AK148" s="65"/>
      <c r="AL148" s="65"/>
      <c r="AM148" s="65"/>
      <c r="AN148" s="65"/>
      <c r="AO148" s="65"/>
      <c r="AP148" s="65"/>
      <c r="AQ148" s="65"/>
      <c r="AR148" s="65"/>
      <c r="AS148" s="65"/>
      <c r="AT148" s="65"/>
      <c r="AU148" s="65"/>
      <c r="AV148" s="65"/>
      <c r="AW148" s="65"/>
      <c r="AX148" s="65"/>
      <c r="AY148" s="65"/>
      <c r="AZ148" s="65"/>
      <c r="BA148" s="65"/>
      <c r="BB148" s="65"/>
    </row>
    <row r="149" spans="2:54" x14ac:dyDescent="0.25">
      <c r="U149" s="65"/>
      <c r="V149" s="65"/>
      <c r="W149" s="65"/>
      <c r="X149" s="65"/>
      <c r="Y149" s="65"/>
      <c r="Z149" s="65"/>
      <c r="AA149" s="65"/>
      <c r="AB149" s="65"/>
      <c r="AC149" s="65"/>
      <c r="AD149" s="65"/>
      <c r="AE149" s="65"/>
      <c r="AF149" s="65"/>
      <c r="AG149" s="65"/>
      <c r="AH149" s="65"/>
      <c r="AI149" s="65"/>
      <c r="AJ149" s="65"/>
      <c r="AK149" s="65"/>
      <c r="AL149" s="65"/>
      <c r="AM149" s="65"/>
      <c r="AN149" s="65"/>
      <c r="AO149" s="65"/>
      <c r="AP149" s="65"/>
      <c r="AQ149" s="65"/>
      <c r="AR149" s="65"/>
      <c r="AS149" s="65"/>
      <c r="AT149" s="65"/>
      <c r="AU149" s="65"/>
      <c r="AV149" s="65"/>
      <c r="AW149" s="65"/>
      <c r="AX149" s="65"/>
      <c r="AY149" s="65"/>
      <c r="AZ149" s="65"/>
      <c r="BA149" s="65"/>
      <c r="BB149" s="65"/>
    </row>
    <row r="150" spans="2:54" x14ac:dyDescent="0.25">
      <c r="U150" s="65"/>
      <c r="V150" s="65"/>
      <c r="W150" s="65"/>
      <c r="X150" s="65"/>
      <c r="Y150" s="65"/>
      <c r="Z150" s="65"/>
      <c r="AA150" s="65"/>
      <c r="AB150" s="65"/>
      <c r="AC150" s="65"/>
      <c r="AD150" s="65"/>
      <c r="AE150" s="65"/>
      <c r="AF150" s="65"/>
      <c r="AG150" s="65"/>
      <c r="AH150" s="65"/>
      <c r="AI150" s="65"/>
      <c r="AJ150" s="65"/>
      <c r="AK150" s="65"/>
      <c r="AL150" s="65"/>
      <c r="AM150" s="65"/>
      <c r="AN150" s="65"/>
      <c r="AO150" s="65"/>
      <c r="AP150" s="65"/>
      <c r="AQ150" s="65"/>
      <c r="AR150" s="65"/>
      <c r="AS150" s="65"/>
      <c r="AT150" s="65"/>
      <c r="AU150" s="65"/>
      <c r="AV150" s="65"/>
      <c r="AW150" s="65"/>
      <c r="AX150" s="65"/>
      <c r="AY150" s="65"/>
      <c r="AZ150" s="65"/>
      <c r="BA150" s="65"/>
      <c r="BB150" s="65"/>
    </row>
    <row r="151" spans="2:54" x14ac:dyDescent="0.25">
      <c r="B151" s="63" t="s">
        <v>386</v>
      </c>
      <c r="U151" s="65"/>
      <c r="V151" s="65"/>
      <c r="W151" s="65"/>
      <c r="X151" s="65"/>
      <c r="Y151" s="65"/>
      <c r="Z151" s="65"/>
      <c r="AA151" s="65"/>
      <c r="AB151" s="65"/>
      <c r="AC151" s="65"/>
      <c r="AD151" s="65"/>
      <c r="AE151" s="65"/>
      <c r="AF151" s="65"/>
      <c r="AG151" s="65"/>
      <c r="AH151" s="65"/>
      <c r="AI151" s="65"/>
      <c r="AJ151" s="65"/>
      <c r="AK151" s="65"/>
      <c r="AL151" s="65"/>
      <c r="AM151" s="65"/>
      <c r="AN151" s="65"/>
      <c r="AO151" s="65"/>
      <c r="AP151" s="65"/>
      <c r="AQ151" s="65"/>
      <c r="AR151" s="65"/>
      <c r="AS151" s="65"/>
      <c r="AT151" s="65"/>
      <c r="AU151" s="65"/>
      <c r="AV151" s="65"/>
      <c r="AW151" s="65"/>
      <c r="AX151" s="65"/>
      <c r="AY151" s="65"/>
      <c r="AZ151" s="65"/>
      <c r="BA151" s="65"/>
      <c r="BB151" s="65"/>
    </row>
    <row r="152" spans="2:54" x14ac:dyDescent="0.25">
      <c r="B152" s="63" t="s">
        <v>287</v>
      </c>
      <c r="U152" s="65"/>
      <c r="V152" s="65"/>
      <c r="W152" s="65"/>
      <c r="X152" s="65"/>
      <c r="Y152" s="65"/>
      <c r="Z152" s="65"/>
      <c r="AA152" s="65"/>
      <c r="AB152" s="65"/>
      <c r="AC152" s="65"/>
      <c r="AD152" s="65"/>
      <c r="AE152" s="65"/>
      <c r="AF152" s="65"/>
      <c r="AG152" s="65"/>
      <c r="AH152" s="65"/>
      <c r="AI152" s="65"/>
      <c r="AJ152" s="65"/>
      <c r="AK152" s="65"/>
      <c r="AL152" s="65"/>
      <c r="AM152" s="65"/>
      <c r="AN152" s="65"/>
      <c r="AO152" s="65"/>
      <c r="AP152" s="65"/>
      <c r="AQ152" s="65"/>
      <c r="AR152" s="65"/>
      <c r="AS152" s="65"/>
      <c r="AT152" s="65"/>
      <c r="AU152" s="65"/>
      <c r="AV152" s="65"/>
      <c r="AW152" s="65"/>
      <c r="AX152" s="65"/>
      <c r="AY152" s="65"/>
      <c r="AZ152" s="65"/>
      <c r="BA152" s="65"/>
      <c r="BB152" s="65"/>
    </row>
    <row r="153" spans="2:54" x14ac:dyDescent="0.25">
      <c r="B153" s="63" t="s">
        <v>393</v>
      </c>
      <c r="U153" s="65"/>
      <c r="V153" s="65"/>
      <c r="W153" s="65"/>
      <c r="X153" s="65"/>
      <c r="Y153" s="65"/>
      <c r="Z153" s="65"/>
      <c r="AA153" s="65"/>
      <c r="AB153" s="65"/>
      <c r="AC153" s="65"/>
      <c r="AD153" s="65"/>
      <c r="AE153" s="65"/>
      <c r="AF153" s="65"/>
      <c r="AG153" s="65"/>
      <c r="AH153" s="65"/>
      <c r="AI153" s="65"/>
      <c r="AJ153" s="65"/>
      <c r="AK153" s="65"/>
      <c r="AL153" s="65"/>
      <c r="AM153" s="65"/>
      <c r="AN153" s="65"/>
      <c r="AO153" s="65"/>
      <c r="AP153" s="65"/>
      <c r="AQ153" s="65"/>
      <c r="AR153" s="65"/>
      <c r="AS153" s="65"/>
      <c r="AT153" s="65"/>
      <c r="AU153" s="65"/>
      <c r="AV153" s="65"/>
      <c r="AW153" s="65"/>
      <c r="AX153" s="65"/>
      <c r="AY153" s="65"/>
      <c r="AZ153" s="65"/>
      <c r="BA153" s="65"/>
      <c r="BB153" s="65"/>
    </row>
    <row r="154" spans="2:54" x14ac:dyDescent="0.25">
      <c r="U154" s="65"/>
      <c r="V154" s="65"/>
      <c r="W154" s="65"/>
      <c r="X154" s="65"/>
      <c r="Y154" s="65"/>
      <c r="Z154" s="65"/>
      <c r="AA154" s="65"/>
      <c r="AB154" s="65"/>
      <c r="AC154" s="65"/>
      <c r="AD154" s="65"/>
      <c r="AE154" s="65"/>
      <c r="AF154" s="65"/>
      <c r="AG154" s="65"/>
      <c r="AH154" s="65"/>
      <c r="AI154" s="65"/>
      <c r="AJ154" s="65"/>
      <c r="AK154" s="65"/>
      <c r="AL154" s="65"/>
      <c r="AM154" s="65"/>
      <c r="AN154" s="65"/>
      <c r="AO154" s="65"/>
      <c r="AP154" s="65"/>
      <c r="AQ154" s="65"/>
      <c r="AR154" s="65"/>
      <c r="AS154" s="65"/>
      <c r="AT154" s="65"/>
      <c r="AU154" s="65"/>
      <c r="AV154" s="65"/>
      <c r="AW154" s="65"/>
      <c r="AX154" s="65"/>
      <c r="AY154" s="65"/>
      <c r="AZ154" s="65"/>
      <c r="BA154" s="65"/>
      <c r="BB154" s="65"/>
    </row>
    <row r="155" spans="2:54" x14ac:dyDescent="0.25">
      <c r="U155" s="65"/>
      <c r="V155" s="65"/>
      <c r="W155" s="65"/>
      <c r="X155" s="65"/>
      <c r="Y155" s="65"/>
      <c r="Z155" s="65"/>
      <c r="AA155" s="65"/>
      <c r="AB155" s="65"/>
      <c r="AC155" s="65"/>
      <c r="AD155" s="65"/>
      <c r="AE155" s="65"/>
      <c r="AF155" s="65"/>
      <c r="AG155" s="65"/>
      <c r="AH155" s="65"/>
      <c r="AI155" s="65"/>
      <c r="AJ155" s="65"/>
      <c r="AK155" s="65"/>
      <c r="AL155" s="65"/>
      <c r="AM155" s="65"/>
      <c r="AN155" s="65"/>
      <c r="AO155" s="65"/>
      <c r="AP155" s="65"/>
      <c r="AQ155" s="65"/>
      <c r="AR155" s="65"/>
      <c r="AS155" s="65"/>
      <c r="AT155" s="65"/>
      <c r="AU155" s="65"/>
      <c r="AV155" s="65"/>
      <c r="AW155" s="65"/>
      <c r="AX155" s="65"/>
      <c r="AY155" s="65"/>
      <c r="AZ155" s="65"/>
      <c r="BA155" s="65"/>
      <c r="BB155" s="65"/>
    </row>
    <row r="156" spans="2:54" x14ac:dyDescent="0.25">
      <c r="U156" s="65"/>
      <c r="V156" s="65"/>
      <c r="W156" s="65"/>
      <c r="X156" s="65"/>
      <c r="Y156" s="65"/>
      <c r="Z156" s="65"/>
      <c r="AA156" s="65"/>
      <c r="AB156" s="65"/>
      <c r="AC156" s="65"/>
      <c r="AD156" s="65"/>
      <c r="AE156" s="65"/>
      <c r="AF156" s="65"/>
      <c r="AG156" s="65"/>
      <c r="AH156" s="65"/>
      <c r="AI156" s="65"/>
      <c r="AJ156" s="65"/>
      <c r="AK156" s="65"/>
      <c r="AL156" s="65"/>
      <c r="AM156" s="65"/>
      <c r="AN156" s="65"/>
      <c r="AO156" s="65"/>
      <c r="AP156" s="65"/>
      <c r="AQ156" s="65"/>
      <c r="AR156" s="65"/>
      <c r="AS156" s="65"/>
      <c r="AT156" s="65"/>
      <c r="AU156" s="65"/>
      <c r="AV156" s="65"/>
      <c r="AW156" s="65"/>
      <c r="AX156" s="65"/>
      <c r="AY156" s="65"/>
      <c r="AZ156" s="65"/>
      <c r="BA156" s="65"/>
      <c r="BB156" s="65"/>
    </row>
    <row r="157" spans="2:54" x14ac:dyDescent="0.25">
      <c r="U157" s="65"/>
      <c r="V157" s="65"/>
      <c r="W157" s="65"/>
      <c r="X157" s="65"/>
      <c r="Y157" s="65"/>
      <c r="Z157" s="65"/>
      <c r="AA157" s="65"/>
      <c r="AB157" s="65"/>
      <c r="AC157" s="65"/>
      <c r="AD157" s="65"/>
      <c r="AE157" s="65"/>
      <c r="AF157" s="65"/>
      <c r="AG157" s="65"/>
      <c r="AH157" s="65"/>
      <c r="AI157" s="65"/>
      <c r="AJ157" s="65"/>
      <c r="AK157" s="65"/>
      <c r="AL157" s="65"/>
      <c r="AM157" s="65"/>
      <c r="AN157" s="65"/>
      <c r="AO157" s="65"/>
      <c r="AP157" s="65"/>
      <c r="AQ157" s="65"/>
      <c r="AR157" s="65"/>
      <c r="AS157" s="65"/>
      <c r="AT157" s="65"/>
      <c r="AU157" s="65"/>
      <c r="AV157" s="65"/>
      <c r="AW157" s="65"/>
      <c r="AX157" s="65"/>
      <c r="AY157" s="65"/>
      <c r="AZ157" s="65"/>
      <c r="BA157" s="65"/>
      <c r="BB157" s="65"/>
    </row>
    <row r="158" spans="2:54" x14ac:dyDescent="0.25">
      <c r="U158" s="65"/>
      <c r="V158" s="65"/>
      <c r="W158" s="65"/>
      <c r="X158" s="65"/>
      <c r="Y158" s="65"/>
      <c r="Z158" s="65"/>
      <c r="AA158" s="65"/>
      <c r="AB158" s="65"/>
      <c r="AC158" s="65"/>
      <c r="AD158" s="65"/>
      <c r="AE158" s="65"/>
      <c r="AF158" s="65"/>
      <c r="AG158" s="65"/>
      <c r="AH158" s="65"/>
      <c r="AI158" s="65"/>
      <c r="AJ158" s="65"/>
      <c r="AK158" s="65"/>
      <c r="AL158" s="65"/>
      <c r="AM158" s="65"/>
      <c r="AN158" s="65"/>
      <c r="AO158" s="65"/>
      <c r="AP158" s="65"/>
      <c r="AQ158" s="65"/>
      <c r="AR158" s="65"/>
      <c r="AS158" s="65"/>
      <c r="AT158" s="65"/>
      <c r="AU158" s="65"/>
      <c r="AV158" s="65"/>
      <c r="AW158" s="65"/>
      <c r="AX158" s="65"/>
      <c r="AY158" s="65"/>
      <c r="AZ158" s="65"/>
      <c r="BA158" s="65"/>
      <c r="BB158" s="65"/>
    </row>
    <row r="159" spans="2:54" x14ac:dyDescent="0.25">
      <c r="U159" s="65"/>
      <c r="V159" s="65"/>
      <c r="W159" s="65"/>
      <c r="X159" s="65"/>
      <c r="Y159" s="65"/>
      <c r="Z159" s="65"/>
      <c r="AA159" s="65"/>
      <c r="AB159" s="65"/>
      <c r="AC159" s="65"/>
      <c r="AD159" s="65"/>
      <c r="AE159" s="65"/>
      <c r="AF159" s="65"/>
      <c r="AG159" s="65"/>
      <c r="AH159" s="65"/>
      <c r="AI159" s="65"/>
      <c r="AJ159" s="65"/>
      <c r="AK159" s="65"/>
      <c r="AL159" s="65"/>
      <c r="AM159" s="65"/>
      <c r="AN159" s="65"/>
      <c r="AO159" s="65"/>
      <c r="AP159" s="65"/>
      <c r="AQ159" s="65"/>
      <c r="AR159" s="65"/>
      <c r="AS159" s="65"/>
      <c r="AT159" s="65"/>
      <c r="AU159" s="65"/>
      <c r="AV159" s="65"/>
      <c r="AW159" s="65"/>
      <c r="AX159" s="65"/>
      <c r="AY159" s="65"/>
      <c r="AZ159" s="65"/>
      <c r="BA159" s="65"/>
      <c r="BB159" s="65"/>
    </row>
    <row r="160" spans="2:54" x14ac:dyDescent="0.25">
      <c r="U160" s="65"/>
      <c r="V160" s="65"/>
      <c r="W160" s="65"/>
      <c r="X160" s="65"/>
      <c r="Y160" s="65"/>
      <c r="Z160" s="65"/>
      <c r="AA160" s="65"/>
      <c r="AB160" s="65"/>
      <c r="AC160" s="65"/>
      <c r="AD160" s="65"/>
      <c r="AE160" s="65"/>
      <c r="AF160" s="65"/>
      <c r="AG160" s="65"/>
      <c r="AH160" s="65"/>
      <c r="AI160" s="65"/>
      <c r="AJ160" s="65"/>
      <c r="AK160" s="65"/>
      <c r="AL160" s="65"/>
      <c r="AM160" s="65"/>
      <c r="AN160" s="65"/>
      <c r="AO160" s="65"/>
      <c r="AP160" s="65"/>
      <c r="AQ160" s="65"/>
      <c r="AR160" s="65"/>
      <c r="AS160" s="65"/>
      <c r="AT160" s="65"/>
      <c r="AU160" s="65"/>
      <c r="AV160" s="65"/>
      <c r="AW160" s="65"/>
      <c r="AX160" s="65"/>
      <c r="AY160" s="65"/>
      <c r="AZ160" s="65"/>
      <c r="BA160" s="65"/>
      <c r="BB160" s="65"/>
    </row>
    <row r="161" spans="21:54" x14ac:dyDescent="0.25">
      <c r="U161" s="65"/>
      <c r="V161" s="65"/>
      <c r="W161" s="65"/>
      <c r="X161" s="65"/>
      <c r="Y161" s="65"/>
      <c r="Z161" s="65"/>
      <c r="AA161" s="65"/>
      <c r="AB161" s="65"/>
      <c r="AC161" s="65"/>
      <c r="AD161" s="65"/>
      <c r="AE161" s="65"/>
      <c r="AF161" s="65"/>
      <c r="AG161" s="65"/>
      <c r="AH161" s="65"/>
      <c r="AI161" s="65"/>
      <c r="AJ161" s="65"/>
      <c r="AK161" s="65"/>
      <c r="AL161" s="65"/>
      <c r="AM161" s="65"/>
      <c r="AN161" s="65"/>
      <c r="AO161" s="65"/>
      <c r="AP161" s="65"/>
      <c r="AQ161" s="65"/>
      <c r="AR161" s="65"/>
      <c r="AS161" s="65"/>
      <c r="AT161" s="65"/>
      <c r="AU161" s="65"/>
      <c r="AV161" s="65"/>
      <c r="AW161" s="65"/>
      <c r="AX161" s="65"/>
      <c r="AY161" s="65"/>
      <c r="AZ161" s="65"/>
      <c r="BA161" s="65"/>
      <c r="BB161" s="65"/>
    </row>
    <row r="162" spans="21:54" x14ac:dyDescent="0.25">
      <c r="U162" s="65"/>
      <c r="V162" s="65"/>
      <c r="W162" s="65"/>
      <c r="X162" s="65"/>
      <c r="Y162" s="65"/>
      <c r="Z162" s="65"/>
      <c r="AA162" s="65"/>
      <c r="AB162" s="65"/>
      <c r="AC162" s="65"/>
      <c r="AD162" s="65"/>
      <c r="AE162" s="65"/>
      <c r="AF162" s="65"/>
      <c r="AG162" s="65"/>
      <c r="AH162" s="65"/>
      <c r="AI162" s="65"/>
      <c r="AJ162" s="65"/>
      <c r="AK162" s="65"/>
      <c r="AL162" s="65"/>
      <c r="AM162" s="65"/>
      <c r="AN162" s="65"/>
      <c r="AO162" s="65"/>
      <c r="AP162" s="65"/>
      <c r="AQ162" s="65"/>
      <c r="AR162" s="65"/>
      <c r="AS162" s="65"/>
      <c r="AT162" s="65"/>
      <c r="AU162" s="65"/>
      <c r="AV162" s="65"/>
      <c r="AW162" s="65"/>
      <c r="AX162" s="65"/>
      <c r="AY162" s="65"/>
      <c r="AZ162" s="65"/>
      <c r="BA162" s="65"/>
      <c r="BB162" s="65"/>
    </row>
    <row r="163" spans="21:54" x14ac:dyDescent="0.25">
      <c r="U163" s="65"/>
      <c r="V163" s="65"/>
      <c r="W163" s="65"/>
      <c r="X163" s="65"/>
      <c r="Y163" s="65"/>
      <c r="Z163" s="65"/>
      <c r="AA163" s="65"/>
      <c r="AB163" s="65"/>
      <c r="AC163" s="65"/>
      <c r="AD163" s="65"/>
      <c r="AE163" s="65"/>
      <c r="AF163" s="65"/>
      <c r="AG163" s="65"/>
      <c r="AH163" s="65"/>
      <c r="AI163" s="65"/>
      <c r="AJ163" s="65"/>
      <c r="AK163" s="65"/>
      <c r="AL163" s="65"/>
      <c r="AM163" s="65"/>
      <c r="AN163" s="65"/>
      <c r="AO163" s="65"/>
      <c r="AP163" s="65"/>
      <c r="AQ163" s="65"/>
      <c r="AR163" s="65"/>
      <c r="AS163" s="65"/>
      <c r="AT163" s="65"/>
      <c r="AU163" s="65"/>
      <c r="AV163" s="65"/>
      <c r="AW163" s="65"/>
      <c r="AX163" s="65"/>
      <c r="AY163" s="65"/>
      <c r="AZ163" s="65"/>
      <c r="BA163" s="65"/>
      <c r="BB163" s="65"/>
    </row>
    <row r="164" spans="21:54" x14ac:dyDescent="0.25">
      <c r="U164" s="65"/>
      <c r="V164" s="65"/>
      <c r="W164" s="65"/>
      <c r="X164" s="65"/>
      <c r="Y164" s="65"/>
      <c r="Z164" s="65"/>
      <c r="AA164" s="65"/>
      <c r="AB164" s="65"/>
      <c r="AC164" s="65"/>
      <c r="AD164" s="65"/>
      <c r="AE164" s="65"/>
      <c r="AF164" s="65"/>
      <c r="AG164" s="65"/>
      <c r="AH164" s="65"/>
      <c r="AI164" s="65"/>
      <c r="AJ164" s="65"/>
      <c r="AK164" s="65"/>
      <c r="AL164" s="65"/>
      <c r="AM164" s="65"/>
      <c r="AN164" s="65"/>
      <c r="AO164" s="65"/>
      <c r="AP164" s="65"/>
      <c r="AQ164" s="65"/>
      <c r="AR164" s="65"/>
      <c r="AS164" s="65"/>
      <c r="AT164" s="65"/>
      <c r="AU164" s="65"/>
      <c r="AV164" s="65"/>
      <c r="AW164" s="65"/>
      <c r="AX164" s="65"/>
      <c r="AY164" s="65"/>
      <c r="AZ164" s="65"/>
      <c r="BA164" s="65"/>
      <c r="BB164" s="65"/>
    </row>
    <row r="165" spans="21:54" x14ac:dyDescent="0.25">
      <c r="U165" s="65"/>
      <c r="V165" s="65"/>
      <c r="W165" s="65"/>
      <c r="X165" s="65"/>
      <c r="Y165" s="65"/>
      <c r="Z165" s="65"/>
      <c r="AA165" s="65"/>
      <c r="AB165" s="65"/>
      <c r="AC165" s="65"/>
      <c r="AD165" s="65"/>
      <c r="AE165" s="65"/>
      <c r="AF165" s="65"/>
      <c r="AG165" s="65"/>
      <c r="AH165" s="65"/>
      <c r="AI165" s="65"/>
      <c r="AJ165" s="65"/>
      <c r="AK165" s="65"/>
      <c r="AL165" s="65"/>
      <c r="AM165" s="65"/>
      <c r="AN165" s="65"/>
      <c r="AO165" s="65"/>
      <c r="AP165" s="65"/>
      <c r="AQ165" s="65"/>
      <c r="AR165" s="65"/>
      <c r="AS165" s="65"/>
      <c r="AT165" s="65"/>
      <c r="AU165" s="65"/>
      <c r="AV165" s="65"/>
      <c r="AW165" s="65"/>
      <c r="AX165" s="65"/>
      <c r="AY165" s="65"/>
      <c r="AZ165" s="65"/>
      <c r="BA165" s="65"/>
      <c r="BB165" s="65"/>
    </row>
    <row r="166" spans="21:54" x14ac:dyDescent="0.25">
      <c r="U166" s="65"/>
      <c r="V166" s="65"/>
      <c r="W166" s="65"/>
      <c r="X166" s="65"/>
      <c r="Y166" s="65"/>
      <c r="Z166" s="65"/>
      <c r="AA166" s="65"/>
      <c r="AB166" s="65"/>
      <c r="AC166" s="65"/>
      <c r="AD166" s="65"/>
      <c r="AE166" s="65"/>
      <c r="AF166" s="65"/>
      <c r="AG166" s="65"/>
      <c r="AH166" s="65"/>
      <c r="AI166" s="65"/>
      <c r="AJ166" s="65"/>
      <c r="AK166" s="65"/>
      <c r="AL166" s="65"/>
      <c r="AM166" s="65"/>
      <c r="AN166" s="65"/>
      <c r="AO166" s="65"/>
      <c r="AP166" s="65"/>
      <c r="AQ166" s="65"/>
      <c r="AR166" s="65"/>
      <c r="AS166" s="65"/>
      <c r="AT166" s="65"/>
      <c r="AU166" s="65"/>
      <c r="AV166" s="65"/>
      <c r="AW166" s="65"/>
      <c r="AX166" s="65"/>
      <c r="AY166" s="65"/>
      <c r="AZ166" s="65"/>
      <c r="BA166" s="65"/>
      <c r="BB166" s="65"/>
    </row>
    <row r="167" spans="21:54" x14ac:dyDescent="0.25">
      <c r="U167" s="65"/>
      <c r="V167" s="65"/>
      <c r="W167" s="65"/>
      <c r="X167" s="65"/>
      <c r="Y167" s="65"/>
      <c r="Z167" s="65"/>
      <c r="AA167" s="65"/>
      <c r="AB167" s="65"/>
      <c r="AC167" s="65"/>
      <c r="AD167" s="65"/>
      <c r="AE167" s="65"/>
      <c r="AF167" s="65"/>
      <c r="AG167" s="65"/>
      <c r="AH167" s="65"/>
      <c r="AI167" s="65"/>
      <c r="AJ167" s="65"/>
      <c r="AK167" s="65"/>
      <c r="AL167" s="65"/>
      <c r="AM167" s="65"/>
      <c r="AN167" s="65"/>
      <c r="AO167" s="65"/>
      <c r="AP167" s="65"/>
      <c r="AQ167" s="65"/>
      <c r="AR167" s="65"/>
      <c r="AS167" s="65"/>
      <c r="AT167" s="65"/>
      <c r="AU167" s="65"/>
      <c r="AV167" s="65"/>
      <c r="AW167" s="65"/>
      <c r="AX167" s="65"/>
      <c r="AY167" s="65"/>
      <c r="AZ167" s="65"/>
      <c r="BA167" s="65"/>
      <c r="BB167" s="65"/>
    </row>
    <row r="168" spans="21:54" x14ac:dyDescent="0.25">
      <c r="U168" s="65"/>
      <c r="V168" s="65"/>
      <c r="W168" s="65"/>
      <c r="X168" s="65"/>
      <c r="Y168" s="65"/>
      <c r="Z168" s="65"/>
      <c r="AA168" s="65"/>
      <c r="AB168" s="65"/>
      <c r="AC168" s="65"/>
      <c r="AD168" s="65"/>
      <c r="AE168" s="65"/>
      <c r="AF168" s="65"/>
      <c r="AG168" s="65"/>
      <c r="AH168" s="65"/>
      <c r="AI168" s="65"/>
      <c r="AJ168" s="65"/>
      <c r="AK168" s="65"/>
      <c r="AL168" s="65"/>
      <c r="AM168" s="65"/>
      <c r="AN168" s="65"/>
      <c r="AO168" s="65"/>
      <c r="AP168" s="65"/>
      <c r="AQ168" s="65"/>
      <c r="AR168" s="65"/>
      <c r="AS168" s="65"/>
      <c r="AT168" s="65"/>
      <c r="AU168" s="65"/>
      <c r="AV168" s="65"/>
      <c r="AW168" s="65"/>
      <c r="AX168" s="65"/>
      <c r="AY168" s="65"/>
      <c r="AZ168" s="65"/>
      <c r="BA168" s="65"/>
      <c r="BB168" s="65"/>
    </row>
    <row r="169" spans="21:54" x14ac:dyDescent="0.25">
      <c r="AG169" s="65"/>
      <c r="AH169" s="65"/>
      <c r="AI169" s="65"/>
      <c r="AJ169" s="65"/>
      <c r="AK169" s="65"/>
      <c r="AL169" s="65"/>
      <c r="AM169" s="65"/>
      <c r="AN169" s="65"/>
      <c r="AO169" s="65"/>
      <c r="AP169" s="65"/>
      <c r="AQ169" s="65"/>
      <c r="AR169" s="65"/>
      <c r="AS169" s="65"/>
      <c r="AT169" s="65"/>
      <c r="AU169" s="65"/>
      <c r="AV169" s="65"/>
      <c r="AW169" s="65"/>
      <c r="AX169" s="65"/>
      <c r="AY169" s="65"/>
      <c r="AZ169" s="65"/>
      <c r="BA169" s="65"/>
      <c r="BB169" s="65"/>
    </row>
    <row r="170" spans="21:54" x14ac:dyDescent="0.25">
      <c r="AG170" s="65"/>
      <c r="AH170" s="65"/>
      <c r="AI170" s="65"/>
      <c r="AJ170" s="65"/>
      <c r="AK170" s="65"/>
      <c r="AL170" s="65"/>
      <c r="AM170" s="65"/>
      <c r="AN170" s="65"/>
      <c r="AO170" s="65"/>
      <c r="AP170" s="65"/>
      <c r="AQ170" s="65"/>
      <c r="AR170" s="65"/>
      <c r="AS170" s="65"/>
      <c r="AT170" s="65"/>
      <c r="AU170" s="65"/>
      <c r="AV170" s="65"/>
      <c r="AW170" s="65"/>
      <c r="AX170" s="65"/>
      <c r="AY170" s="65"/>
      <c r="AZ170" s="65"/>
      <c r="BA170" s="65"/>
      <c r="BB170" s="65"/>
    </row>
    <row r="171" spans="21:54" x14ac:dyDescent="0.25">
      <c r="AG171" s="65"/>
      <c r="AH171" s="65"/>
      <c r="AI171" s="65"/>
      <c r="AJ171" s="65"/>
      <c r="AK171" s="65"/>
      <c r="AL171" s="65"/>
      <c r="AM171" s="65"/>
      <c r="AN171" s="65"/>
      <c r="AO171" s="65"/>
      <c r="AP171" s="65"/>
      <c r="AQ171" s="65"/>
      <c r="AR171" s="65"/>
      <c r="AS171" s="65"/>
      <c r="AT171" s="65"/>
      <c r="AU171" s="65"/>
      <c r="AV171" s="65"/>
      <c r="AW171" s="65"/>
      <c r="AX171" s="65"/>
      <c r="AY171" s="65"/>
      <c r="AZ171" s="65"/>
      <c r="BA171" s="65"/>
      <c r="BB171" s="65"/>
    </row>
    <row r="172" spans="21:54" x14ac:dyDescent="0.25">
      <c r="AG172" s="65"/>
      <c r="AH172" s="65"/>
      <c r="AI172" s="65"/>
      <c r="AJ172" s="65"/>
      <c r="AK172" s="65"/>
      <c r="AL172" s="65"/>
      <c r="AM172" s="65"/>
      <c r="AN172" s="65"/>
      <c r="AO172" s="65"/>
      <c r="AP172" s="65"/>
      <c r="AQ172" s="65"/>
      <c r="AR172" s="65"/>
      <c r="AS172" s="65"/>
      <c r="AT172" s="65"/>
      <c r="AU172" s="65"/>
      <c r="AV172" s="65"/>
      <c r="AW172" s="65"/>
      <c r="AX172" s="65"/>
      <c r="AY172" s="65"/>
      <c r="AZ172" s="65"/>
      <c r="BA172" s="65"/>
      <c r="BB172" s="65"/>
    </row>
    <row r="173" spans="21:54" x14ac:dyDescent="0.25">
      <c r="AG173" s="65"/>
      <c r="AH173" s="65"/>
      <c r="AI173" s="65"/>
      <c r="AJ173" s="65"/>
      <c r="AK173" s="65"/>
      <c r="AL173" s="65"/>
      <c r="AM173" s="65"/>
      <c r="AN173" s="65"/>
      <c r="AO173" s="65"/>
      <c r="AP173" s="65"/>
      <c r="AQ173" s="65"/>
      <c r="AR173" s="65"/>
      <c r="AS173" s="65"/>
      <c r="AT173" s="65"/>
      <c r="AU173" s="65"/>
      <c r="AV173" s="65"/>
      <c r="AW173" s="65"/>
      <c r="AX173" s="65"/>
      <c r="AY173" s="65"/>
      <c r="AZ173" s="65"/>
      <c r="BA173" s="65"/>
      <c r="BB173" s="65"/>
    </row>
    <row r="174" spans="21:54" x14ac:dyDescent="0.25">
      <c r="AG174" s="65"/>
      <c r="AH174" s="65"/>
      <c r="AI174" s="65"/>
      <c r="AJ174" s="65"/>
      <c r="AK174" s="65"/>
      <c r="AL174" s="65"/>
      <c r="AM174" s="65"/>
      <c r="AN174" s="65"/>
      <c r="AO174" s="65"/>
      <c r="AP174" s="65"/>
      <c r="AQ174" s="65"/>
      <c r="AR174" s="65"/>
      <c r="AS174" s="65"/>
      <c r="AT174" s="65"/>
      <c r="AU174" s="65"/>
      <c r="AV174" s="65"/>
      <c r="AW174" s="65"/>
      <c r="AX174" s="65"/>
      <c r="AY174" s="65"/>
      <c r="AZ174" s="65"/>
      <c r="BA174" s="65"/>
      <c r="BB174" s="65"/>
    </row>
    <row r="175" spans="21:54" x14ac:dyDescent="0.25">
      <c r="AG175" s="65"/>
      <c r="AH175" s="65"/>
      <c r="AI175" s="65"/>
      <c r="AJ175" s="65"/>
      <c r="AK175" s="65"/>
      <c r="AL175" s="65"/>
      <c r="AM175" s="65"/>
      <c r="AN175" s="65"/>
      <c r="AO175" s="65"/>
      <c r="AP175" s="65"/>
      <c r="AQ175" s="65"/>
      <c r="AR175" s="65"/>
      <c r="AS175" s="65"/>
      <c r="AT175" s="65"/>
      <c r="AU175" s="65"/>
      <c r="AV175" s="65"/>
      <c r="AW175" s="65"/>
      <c r="AX175" s="65"/>
      <c r="AY175" s="65"/>
      <c r="AZ175" s="65"/>
      <c r="BA175" s="65"/>
      <c r="BB175" s="65"/>
    </row>
    <row r="176" spans="21:54" x14ac:dyDescent="0.25">
      <c r="AG176" s="65"/>
      <c r="AH176" s="65"/>
      <c r="AI176" s="65"/>
      <c r="AJ176" s="65"/>
      <c r="AK176" s="65"/>
      <c r="AL176" s="65"/>
      <c r="AM176" s="65"/>
      <c r="AN176" s="65"/>
      <c r="AO176" s="65"/>
      <c r="AP176" s="65"/>
      <c r="AQ176" s="65"/>
      <c r="AR176" s="65"/>
      <c r="AS176" s="65"/>
      <c r="AT176" s="65"/>
      <c r="AU176" s="65"/>
      <c r="AV176" s="65"/>
      <c r="AW176" s="65"/>
      <c r="AX176" s="65"/>
      <c r="AY176" s="65"/>
      <c r="AZ176" s="65"/>
      <c r="BA176" s="65"/>
      <c r="BB176" s="65"/>
    </row>
    <row r="177" spans="33:70" x14ac:dyDescent="0.25">
      <c r="AG177" s="65"/>
      <c r="AH177" s="65"/>
      <c r="AI177" s="65"/>
      <c r="AJ177" s="65"/>
      <c r="AK177" s="65"/>
      <c r="AL177" s="65"/>
      <c r="AM177" s="65"/>
      <c r="AN177" s="65"/>
      <c r="AO177" s="65"/>
      <c r="AP177" s="65"/>
      <c r="AQ177" s="65"/>
      <c r="AR177" s="65"/>
      <c r="AS177" s="65"/>
      <c r="AT177" s="65"/>
      <c r="AU177" s="65"/>
      <c r="AV177" s="65"/>
      <c r="AW177" s="65"/>
      <c r="AX177" s="65"/>
      <c r="AY177" s="65"/>
      <c r="AZ177" s="65"/>
      <c r="BA177" s="65"/>
      <c r="BB177" s="65"/>
    </row>
    <row r="178" spans="33:70" x14ac:dyDescent="0.25">
      <c r="AG178" s="65"/>
      <c r="AH178" s="65"/>
      <c r="AI178" s="65"/>
      <c r="AJ178" s="65"/>
      <c r="AK178" s="65"/>
      <c r="AL178" s="65"/>
      <c r="AM178" s="65"/>
      <c r="AN178" s="65"/>
      <c r="AO178" s="65"/>
      <c r="AP178" s="65"/>
      <c r="AQ178" s="65"/>
      <c r="AR178" s="65"/>
      <c r="AS178" s="65"/>
      <c r="AT178" s="65"/>
      <c r="AU178" s="65"/>
      <c r="AV178" s="65"/>
      <c r="AW178" s="65"/>
      <c r="AX178" s="65"/>
      <c r="AY178" s="65"/>
      <c r="AZ178" s="65"/>
      <c r="BA178" s="65"/>
      <c r="BB178" s="65"/>
    </row>
    <row r="179" spans="33:70" x14ac:dyDescent="0.25">
      <c r="AG179" s="65"/>
      <c r="AH179" s="65"/>
      <c r="AI179" s="65"/>
      <c r="AJ179" s="65"/>
      <c r="AK179" s="65"/>
      <c r="AL179" s="65"/>
      <c r="AM179" s="65"/>
      <c r="AN179" s="65"/>
      <c r="AO179" s="65"/>
      <c r="AP179" s="65"/>
      <c r="AQ179" s="65"/>
      <c r="AR179" s="65"/>
      <c r="AS179" s="65"/>
      <c r="AT179" s="65"/>
      <c r="AU179" s="65"/>
      <c r="AV179" s="65"/>
      <c r="AW179" s="65"/>
      <c r="AX179" s="65"/>
      <c r="AY179" s="65"/>
      <c r="AZ179" s="65"/>
      <c r="BA179" s="65"/>
      <c r="BB179" s="65"/>
    </row>
    <row r="180" spans="33:70" x14ac:dyDescent="0.25">
      <c r="AG180" s="65"/>
      <c r="AH180" s="65"/>
      <c r="AI180" s="65"/>
      <c r="AJ180" s="65"/>
      <c r="AK180" s="65"/>
      <c r="AL180" s="65"/>
      <c r="AM180" s="65"/>
      <c r="AN180" s="65"/>
      <c r="AO180" s="65"/>
      <c r="AP180" s="65"/>
      <c r="AQ180" s="65"/>
      <c r="AR180" s="65"/>
      <c r="AS180" s="65"/>
      <c r="AT180" s="65"/>
      <c r="AU180" s="65"/>
      <c r="AV180" s="65"/>
      <c r="AW180" s="65"/>
      <c r="AX180" s="65"/>
      <c r="AY180" s="65"/>
      <c r="AZ180" s="65"/>
      <c r="BA180" s="65"/>
      <c r="BB180" s="65"/>
    </row>
    <row r="181" spans="33:70" x14ac:dyDescent="0.25">
      <c r="AG181" s="65"/>
      <c r="AH181" s="65"/>
      <c r="AI181" s="65"/>
      <c r="AJ181" s="65"/>
      <c r="AK181" s="65"/>
      <c r="AL181" s="65"/>
      <c r="AM181" s="65"/>
      <c r="AN181" s="65"/>
      <c r="AO181" s="65"/>
      <c r="AP181" s="65"/>
      <c r="AQ181" s="65"/>
      <c r="AR181" s="65"/>
      <c r="AS181" s="65"/>
      <c r="AT181" s="65"/>
      <c r="AU181" s="65"/>
      <c r="AV181" s="65"/>
      <c r="AW181" s="65"/>
      <c r="AX181" s="65"/>
      <c r="AY181" s="65"/>
      <c r="AZ181" s="65"/>
      <c r="BA181" s="65"/>
      <c r="BB181" s="65"/>
    </row>
    <row r="182" spans="33:70" x14ac:dyDescent="0.25">
      <c r="AG182" s="65"/>
      <c r="AH182" s="65"/>
      <c r="AI182" s="65"/>
      <c r="AJ182" s="65"/>
      <c r="AK182" s="65"/>
      <c r="AL182" s="65"/>
      <c r="AM182" s="65"/>
      <c r="AN182" s="65"/>
      <c r="AO182" s="65"/>
      <c r="AP182" s="65"/>
      <c r="AQ182" s="65"/>
      <c r="AR182" s="65"/>
      <c r="AS182" s="65"/>
      <c r="AT182" s="65"/>
      <c r="AU182" s="65"/>
      <c r="AV182" s="65"/>
      <c r="AW182" s="65"/>
      <c r="AX182" s="65"/>
      <c r="AY182" s="65"/>
      <c r="AZ182" s="65"/>
      <c r="BA182" s="65"/>
      <c r="BB182" s="65"/>
    </row>
    <row r="183" spans="33:70" x14ac:dyDescent="0.25">
      <c r="AG183" s="65"/>
      <c r="AH183" s="65"/>
      <c r="AI183" s="65"/>
      <c r="AJ183" s="65"/>
      <c r="AK183" s="65"/>
      <c r="AL183" s="65"/>
      <c r="AM183" s="65"/>
      <c r="AN183" s="65"/>
      <c r="AO183" s="65"/>
      <c r="AP183" s="65"/>
      <c r="AQ183" s="65"/>
      <c r="AR183" s="65"/>
      <c r="AS183" s="65"/>
      <c r="AT183" s="65"/>
      <c r="AU183" s="65"/>
      <c r="AV183" s="65"/>
      <c r="AW183" s="65"/>
      <c r="AX183" s="65"/>
      <c r="AY183" s="65"/>
      <c r="AZ183" s="65"/>
      <c r="BA183" s="65"/>
      <c r="BB183" s="65"/>
    </row>
    <row r="184" spans="33:70" x14ac:dyDescent="0.25">
      <c r="AG184" s="65"/>
      <c r="AH184" s="65"/>
      <c r="AI184" s="65"/>
      <c r="AJ184" s="65"/>
      <c r="AK184" s="65"/>
      <c r="AL184" s="65"/>
      <c r="AM184" s="65"/>
      <c r="AN184" s="65"/>
      <c r="AO184" s="65"/>
      <c r="AP184" s="65"/>
      <c r="AQ184" s="65"/>
      <c r="AR184" s="65"/>
      <c r="AS184" s="65"/>
      <c r="AT184" s="65"/>
      <c r="AU184" s="65"/>
      <c r="AV184" s="65"/>
      <c r="AW184" s="65"/>
      <c r="AX184" s="65"/>
      <c r="AY184" s="65"/>
      <c r="AZ184" s="65"/>
      <c r="BA184" s="65"/>
      <c r="BB184" s="65"/>
    </row>
    <row r="185" spans="33:70" x14ac:dyDescent="0.25">
      <c r="AG185" s="65"/>
      <c r="AH185" s="65"/>
      <c r="AI185" s="65"/>
      <c r="AJ185" s="65"/>
      <c r="AK185" s="65"/>
      <c r="AL185" s="65"/>
      <c r="AM185" s="65"/>
      <c r="AN185" s="65"/>
      <c r="AO185" s="65"/>
      <c r="AP185" s="65"/>
      <c r="AQ185" s="65"/>
      <c r="AR185" s="65"/>
      <c r="AS185" s="65"/>
      <c r="AT185" s="65"/>
      <c r="AU185" s="65"/>
      <c r="AV185" s="65"/>
      <c r="AW185" s="65"/>
      <c r="AX185" s="65"/>
      <c r="AY185" s="65"/>
      <c r="AZ185" s="65"/>
      <c r="BA185" s="65"/>
      <c r="BB185" s="65"/>
    </row>
    <row r="186" spans="33:70" x14ac:dyDescent="0.25">
      <c r="AG186" s="65"/>
      <c r="AH186" s="65"/>
      <c r="AI186" s="65"/>
      <c r="AJ186" s="65"/>
      <c r="AK186" s="65"/>
      <c r="AL186" s="65"/>
      <c r="AM186" s="65"/>
      <c r="AN186" s="65"/>
      <c r="AO186" s="65"/>
      <c r="AP186" s="65"/>
      <c r="AQ186" s="65"/>
      <c r="AR186" s="65"/>
      <c r="AS186" s="65"/>
      <c r="AT186" s="65"/>
      <c r="AU186" s="65"/>
      <c r="AV186" s="65"/>
      <c r="AW186" s="65"/>
      <c r="AX186" s="65"/>
      <c r="AY186" s="65"/>
      <c r="AZ186" s="65"/>
      <c r="BA186" s="65"/>
      <c r="BB186" s="65"/>
    </row>
    <row r="187" spans="33:70" x14ac:dyDescent="0.25">
      <c r="AG187" s="65"/>
      <c r="AH187" s="65"/>
      <c r="AI187" s="65"/>
      <c r="AJ187" s="65"/>
      <c r="AK187" s="65"/>
      <c r="AL187" s="65"/>
      <c r="AM187" s="65"/>
      <c r="AN187" s="65"/>
      <c r="AO187" s="65"/>
      <c r="AP187" s="65"/>
      <c r="AQ187" s="65"/>
      <c r="AR187" s="65"/>
      <c r="AS187" s="65"/>
      <c r="AT187" s="65"/>
      <c r="AU187" s="65"/>
      <c r="AV187" s="65"/>
      <c r="AW187" s="65"/>
      <c r="AX187" s="65"/>
      <c r="AY187" s="65"/>
      <c r="AZ187" s="65"/>
      <c r="BA187" s="65"/>
      <c r="BB187" s="65"/>
    </row>
    <row r="188" spans="33:70" x14ac:dyDescent="0.25">
      <c r="AG188" s="65"/>
      <c r="AH188" s="65"/>
      <c r="AI188" s="65"/>
      <c r="AJ188" s="65"/>
      <c r="AK188" s="65"/>
      <c r="AL188" s="65"/>
      <c r="AM188" s="65"/>
      <c r="AN188" s="65"/>
      <c r="AO188" s="65"/>
      <c r="AP188" s="65"/>
      <c r="AQ188" s="65"/>
      <c r="AR188" s="65"/>
      <c r="AS188" s="65"/>
      <c r="AT188" s="65"/>
      <c r="AU188" s="65"/>
      <c r="AV188" s="65"/>
      <c r="AW188" s="65"/>
      <c r="AX188" s="65"/>
      <c r="AY188" s="65"/>
      <c r="AZ188" s="65"/>
      <c r="BA188" s="65"/>
      <c r="BB188" s="65"/>
    </row>
    <row r="189" spans="33:70" x14ac:dyDescent="0.25">
      <c r="AG189" s="65"/>
      <c r="AH189" s="65"/>
      <c r="AI189" s="65"/>
      <c r="AJ189" s="65"/>
      <c r="AK189" s="65"/>
      <c r="AL189" s="65"/>
      <c r="AM189" s="65"/>
      <c r="AN189" s="65"/>
      <c r="AO189" s="65"/>
      <c r="AP189" s="65"/>
      <c r="AQ189" s="65"/>
      <c r="AR189" s="65"/>
      <c r="AS189" s="65"/>
      <c r="AT189" s="65"/>
      <c r="AU189" s="65"/>
      <c r="AV189" s="65"/>
      <c r="AW189" s="65"/>
      <c r="AX189" s="65"/>
      <c r="AY189" s="65"/>
      <c r="AZ189" s="65"/>
      <c r="BA189" s="65"/>
      <c r="BB189" s="65"/>
    </row>
    <row r="190" spans="33:70" x14ac:dyDescent="0.25">
      <c r="AG190" s="65"/>
      <c r="AH190" s="65"/>
      <c r="AI190" s="65"/>
      <c r="AJ190" s="65"/>
      <c r="AK190" s="65"/>
      <c r="AL190" s="65"/>
      <c r="AM190" s="65"/>
      <c r="AN190" s="65"/>
      <c r="AO190" s="65"/>
      <c r="AP190" s="65"/>
      <c r="AQ190" s="65"/>
      <c r="AR190" s="65"/>
      <c r="AS190" s="65"/>
      <c r="AT190" s="65"/>
      <c r="AU190" s="65"/>
      <c r="AV190" s="65"/>
      <c r="AW190" s="65"/>
      <c r="AX190" s="65"/>
      <c r="AY190" s="65"/>
      <c r="AZ190" s="65"/>
      <c r="BA190" s="65"/>
      <c r="BB190" s="65"/>
    </row>
    <row r="191" spans="33:70" x14ac:dyDescent="0.25">
      <c r="AG191" s="65"/>
      <c r="AH191" s="65"/>
      <c r="AI191" s="65"/>
      <c r="AJ191" s="65"/>
      <c r="AK191" s="65"/>
      <c r="AL191" s="65"/>
      <c r="AM191" s="65"/>
      <c r="AN191" s="65"/>
      <c r="AO191" s="65"/>
      <c r="AP191" s="65"/>
      <c r="AQ191" s="65"/>
      <c r="AR191" s="65"/>
      <c r="AS191" s="65"/>
      <c r="AT191" s="65"/>
      <c r="AU191" s="65"/>
      <c r="AV191" s="65"/>
      <c r="AW191" s="65"/>
      <c r="AX191" s="65"/>
      <c r="AY191" s="65"/>
      <c r="AZ191" s="65"/>
      <c r="BA191" s="65"/>
      <c r="BB191" s="65"/>
    </row>
    <row r="192" spans="33:70" x14ac:dyDescent="0.25">
      <c r="AG192" s="65"/>
      <c r="AH192" s="65"/>
      <c r="AI192" s="65"/>
      <c r="AJ192" s="65"/>
      <c r="AK192" s="65"/>
      <c r="AL192" s="65"/>
      <c r="AM192" s="65"/>
      <c r="AN192" s="65"/>
      <c r="AO192" s="65"/>
      <c r="AP192" s="65"/>
      <c r="AQ192" s="65"/>
      <c r="AR192" s="65"/>
      <c r="AS192" s="65"/>
      <c r="AT192" s="65"/>
      <c r="AU192" s="65"/>
      <c r="AV192" s="65"/>
      <c r="AW192" s="65"/>
      <c r="AX192" s="65"/>
      <c r="AY192" s="65"/>
      <c r="AZ192" s="65"/>
      <c r="BA192" s="65"/>
      <c r="BB192" s="65"/>
      <c r="BD192" s="65"/>
      <c r="BE192" s="65"/>
      <c r="BF192" s="65"/>
      <c r="BR192" s="65"/>
    </row>
    <row r="193" spans="33:70" x14ac:dyDescent="0.25">
      <c r="AG193" s="65"/>
      <c r="AH193" s="65"/>
      <c r="AI193" s="65"/>
      <c r="AJ193" s="65"/>
      <c r="AK193" s="65"/>
      <c r="AL193" s="65"/>
      <c r="AM193" s="65"/>
      <c r="AN193" s="65"/>
      <c r="AO193" s="65"/>
      <c r="AP193" s="65"/>
      <c r="AQ193" s="65"/>
      <c r="AR193" s="65"/>
      <c r="AS193" s="65"/>
      <c r="AT193" s="65"/>
      <c r="AU193" s="65"/>
      <c r="AV193" s="65"/>
      <c r="AW193" s="65"/>
      <c r="AX193" s="65"/>
      <c r="AY193" s="65"/>
      <c r="AZ193" s="65"/>
      <c r="BA193" s="65"/>
      <c r="BB193" s="65"/>
      <c r="BD193" s="65"/>
      <c r="BE193" s="65"/>
      <c r="BF193" s="65"/>
      <c r="BR193" s="65"/>
    </row>
    <row r="194" spans="33:70" x14ac:dyDescent="0.25">
      <c r="AG194" s="65"/>
      <c r="AH194" s="65"/>
      <c r="AI194" s="65"/>
      <c r="AJ194" s="65"/>
      <c r="AK194" s="65"/>
      <c r="AL194" s="65"/>
      <c r="AM194" s="65"/>
      <c r="AN194" s="65"/>
      <c r="AO194" s="65"/>
      <c r="AP194" s="65"/>
      <c r="AQ194" s="65"/>
      <c r="AR194" s="65"/>
      <c r="AS194" s="65"/>
      <c r="AT194" s="65"/>
      <c r="AU194" s="65"/>
      <c r="AV194" s="65"/>
      <c r="AW194" s="65"/>
      <c r="AX194" s="65"/>
      <c r="AY194" s="65"/>
      <c r="AZ194" s="65"/>
      <c r="BA194" s="65"/>
      <c r="BB194" s="65"/>
      <c r="BD194" s="65"/>
      <c r="BE194" s="65"/>
      <c r="BF194" s="65"/>
      <c r="BR194" s="65"/>
    </row>
    <row r="195" spans="33:70" x14ac:dyDescent="0.25">
      <c r="AG195" s="65"/>
      <c r="AH195" s="65"/>
      <c r="AI195" s="65"/>
      <c r="AJ195" s="65"/>
      <c r="AK195" s="65"/>
      <c r="AL195" s="65"/>
      <c r="AM195" s="65"/>
      <c r="AN195" s="65"/>
      <c r="AO195" s="65"/>
      <c r="AP195" s="65"/>
      <c r="AQ195" s="65"/>
      <c r="AR195" s="65"/>
      <c r="AS195" s="65"/>
      <c r="AT195" s="65"/>
      <c r="AU195" s="65"/>
      <c r="AV195" s="65"/>
      <c r="AW195" s="65"/>
      <c r="AX195" s="65"/>
      <c r="AY195" s="65"/>
      <c r="AZ195" s="65"/>
      <c r="BA195" s="65"/>
      <c r="BB195" s="65"/>
    </row>
    <row r="196" spans="33:70" x14ac:dyDescent="0.25">
      <c r="AG196" s="65"/>
      <c r="AH196" s="65"/>
      <c r="AI196" s="65"/>
      <c r="AJ196" s="65"/>
      <c r="AK196" s="65"/>
      <c r="AL196" s="65"/>
      <c r="AM196" s="65"/>
      <c r="AN196" s="65"/>
      <c r="AO196" s="65"/>
      <c r="AP196" s="65"/>
      <c r="AQ196" s="65"/>
      <c r="AR196" s="65"/>
      <c r="AS196" s="65"/>
      <c r="AT196" s="65"/>
      <c r="AU196" s="65"/>
    </row>
    <row r="197" spans="33:70" x14ac:dyDescent="0.25">
      <c r="AG197" s="65"/>
      <c r="AH197" s="65"/>
      <c r="AI197" s="65"/>
      <c r="AJ197" s="65"/>
      <c r="AK197" s="65"/>
      <c r="AL197" s="65"/>
      <c r="AM197" s="65"/>
      <c r="AN197" s="65"/>
      <c r="AO197" s="65"/>
      <c r="AP197" s="65"/>
      <c r="AQ197" s="65"/>
      <c r="AR197" s="65"/>
      <c r="AS197" s="65"/>
      <c r="AT197" s="65"/>
      <c r="AU197" s="65"/>
    </row>
    <row r="198" spans="33:70" x14ac:dyDescent="0.25">
      <c r="AG198" s="65"/>
      <c r="AH198" s="65"/>
      <c r="AI198" s="65"/>
      <c r="AJ198" s="65"/>
      <c r="AK198" s="65"/>
      <c r="AL198" s="65"/>
      <c r="AM198" s="65"/>
      <c r="AN198" s="65"/>
      <c r="AO198" s="65"/>
      <c r="AP198" s="65"/>
      <c r="AQ198" s="65"/>
      <c r="AR198" s="65"/>
      <c r="AS198" s="65"/>
      <c r="AT198" s="65"/>
      <c r="AU198" s="65"/>
    </row>
    <row r="199" spans="33:70" x14ac:dyDescent="0.25">
      <c r="AG199" s="65"/>
      <c r="AH199" s="65"/>
      <c r="AI199" s="65"/>
      <c r="AJ199" s="65"/>
      <c r="AK199" s="65"/>
      <c r="AL199" s="65"/>
      <c r="AM199" s="65"/>
      <c r="AN199" s="65"/>
      <c r="AO199" s="65"/>
      <c r="AP199" s="65"/>
      <c r="AQ199" s="65"/>
      <c r="AR199" s="65"/>
      <c r="AS199" s="65"/>
      <c r="AT199" s="65"/>
      <c r="AU199" s="65"/>
    </row>
    <row r="200" spans="33:70" x14ac:dyDescent="0.25">
      <c r="AG200" s="65"/>
      <c r="AH200" s="65"/>
      <c r="AI200" s="65"/>
      <c r="AJ200" s="65"/>
      <c r="AK200" s="65"/>
      <c r="AL200" s="65"/>
      <c r="AM200" s="65"/>
      <c r="AN200" s="65"/>
      <c r="AO200" s="65"/>
      <c r="AP200" s="65"/>
      <c r="AQ200" s="65"/>
      <c r="AR200" s="65"/>
      <c r="AS200" s="65"/>
      <c r="AT200" s="65"/>
      <c r="AU200" s="65"/>
    </row>
    <row r="201" spans="33:70" x14ac:dyDescent="0.25">
      <c r="AG201" s="65"/>
      <c r="AH201" s="65"/>
      <c r="AI201" s="65"/>
      <c r="AJ201" s="65"/>
      <c r="AK201" s="65"/>
      <c r="AL201" s="65"/>
      <c r="AM201" s="65"/>
      <c r="AN201" s="65"/>
      <c r="AO201" s="65"/>
      <c r="AP201" s="65"/>
      <c r="AQ201" s="65"/>
      <c r="AR201" s="65"/>
      <c r="AS201" s="65"/>
      <c r="AT201" s="65"/>
      <c r="AU201" s="65"/>
    </row>
    <row r="202" spans="33:70" x14ac:dyDescent="0.25">
      <c r="AG202" s="65"/>
      <c r="AH202" s="65"/>
      <c r="AI202" s="65"/>
      <c r="AJ202" s="65"/>
      <c r="AK202" s="65"/>
      <c r="AL202" s="65"/>
      <c r="AM202" s="65"/>
      <c r="AN202" s="65"/>
      <c r="AO202" s="65"/>
      <c r="AP202" s="65"/>
      <c r="AQ202" s="65"/>
      <c r="AR202" s="65"/>
      <c r="AS202" s="65"/>
      <c r="AT202" s="65"/>
      <c r="AU202" s="65"/>
    </row>
    <row r="203" spans="33:70" x14ac:dyDescent="0.25">
      <c r="AG203" s="65"/>
      <c r="AH203" s="65"/>
      <c r="AI203" s="65"/>
      <c r="AJ203" s="65"/>
      <c r="AK203" s="65"/>
      <c r="AL203" s="65"/>
      <c r="AM203" s="65"/>
      <c r="AN203" s="65"/>
      <c r="AO203" s="65"/>
      <c r="AP203" s="65"/>
      <c r="AQ203" s="65"/>
      <c r="AR203" s="65"/>
      <c r="AS203" s="65"/>
      <c r="AT203" s="65"/>
      <c r="AU203" s="65"/>
    </row>
    <row r="204" spans="33:70" x14ac:dyDescent="0.25">
      <c r="AH204" s="65"/>
      <c r="AI204" s="65"/>
      <c r="AJ204" s="65"/>
      <c r="AK204" s="65"/>
      <c r="AL204" s="65"/>
      <c r="AM204" s="65"/>
      <c r="AN204" s="65"/>
      <c r="AO204" s="65"/>
      <c r="AP204" s="65"/>
      <c r="AQ204" s="65"/>
      <c r="AR204" s="65"/>
      <c r="AS204" s="65"/>
      <c r="AT204" s="65"/>
      <c r="AU204" s="65"/>
      <c r="AV204" s="65"/>
    </row>
    <row r="205" spans="33:70" x14ac:dyDescent="0.25">
      <c r="AH205" s="65"/>
      <c r="AI205" s="65"/>
      <c r="AJ205" s="65"/>
      <c r="AK205" s="65"/>
      <c r="AL205" s="65"/>
      <c r="AM205" s="65"/>
      <c r="AN205" s="65"/>
      <c r="AO205" s="65"/>
      <c r="AP205" s="65"/>
      <c r="AQ205" s="65"/>
      <c r="AR205" s="65"/>
      <c r="AS205" s="65"/>
      <c r="AT205" s="65"/>
      <c r="AU205" s="65"/>
      <c r="AV205" s="65"/>
    </row>
    <row r="206" spans="33:70" x14ac:dyDescent="0.25">
      <c r="AH206" s="65"/>
      <c r="AI206" s="65"/>
      <c r="AJ206" s="65"/>
      <c r="AK206" s="65"/>
      <c r="AL206" s="65"/>
      <c r="AM206" s="65"/>
      <c r="AN206" s="65"/>
      <c r="AO206" s="65"/>
      <c r="AP206" s="65"/>
      <c r="AQ206" s="65"/>
      <c r="AR206" s="65"/>
      <c r="AS206" s="65"/>
      <c r="AT206" s="65"/>
      <c r="AU206" s="65"/>
      <c r="AV206" s="65"/>
    </row>
    <row r="207" spans="33:70" x14ac:dyDescent="0.25">
      <c r="AH207" s="65"/>
      <c r="AI207" s="65"/>
      <c r="AJ207" s="65"/>
      <c r="AK207" s="65"/>
      <c r="AL207" s="65"/>
      <c r="AM207" s="65"/>
      <c r="AN207" s="65"/>
      <c r="AO207" s="65"/>
      <c r="AP207" s="65"/>
      <c r="AQ207" s="65"/>
      <c r="AR207" s="65"/>
      <c r="AS207" s="65"/>
      <c r="AT207" s="65"/>
      <c r="AU207" s="65"/>
      <c r="AV207" s="65"/>
    </row>
    <row r="208" spans="33:70" x14ac:dyDescent="0.25">
      <c r="AH208" s="65"/>
      <c r="AI208" s="65"/>
      <c r="AJ208" s="65"/>
      <c r="AK208" s="65"/>
      <c r="AL208" s="65"/>
      <c r="AM208" s="65"/>
      <c r="AN208" s="65"/>
      <c r="AO208" s="65"/>
      <c r="AP208" s="65"/>
      <c r="AQ208" s="65"/>
      <c r="AR208" s="65"/>
      <c r="AS208" s="65"/>
      <c r="AT208" s="65"/>
      <c r="AU208" s="65"/>
      <c r="AV208" s="65"/>
    </row>
    <row r="209" spans="34:49" x14ac:dyDescent="0.25">
      <c r="AH209" s="65"/>
      <c r="AI209" s="65"/>
      <c r="AJ209" s="65"/>
      <c r="AK209" s="65"/>
      <c r="AL209" s="65"/>
      <c r="AM209" s="65"/>
      <c r="AN209" s="65"/>
      <c r="AO209" s="65"/>
      <c r="AP209" s="65"/>
      <c r="AQ209" s="65"/>
      <c r="AR209" s="65"/>
      <c r="AS209" s="65"/>
      <c r="AT209" s="65"/>
      <c r="AU209" s="65"/>
      <c r="AV209" s="65"/>
    </row>
    <row r="210" spans="34:49" x14ac:dyDescent="0.25">
      <c r="AH210" s="65"/>
      <c r="AI210" s="65"/>
      <c r="AJ210" s="65"/>
      <c r="AK210" s="65"/>
      <c r="AL210" s="65"/>
      <c r="AM210" s="65"/>
      <c r="AN210" s="65"/>
      <c r="AO210" s="65"/>
      <c r="AP210" s="65"/>
      <c r="AQ210" s="65"/>
      <c r="AR210" s="65"/>
      <c r="AS210" s="65"/>
      <c r="AT210" s="65"/>
      <c r="AU210" s="65"/>
      <c r="AV210" s="65"/>
    </row>
    <row r="211" spans="34:49" x14ac:dyDescent="0.25">
      <c r="AH211" s="65"/>
      <c r="AI211" s="65"/>
      <c r="AJ211" s="65"/>
      <c r="AK211" s="65"/>
      <c r="AL211" s="65"/>
      <c r="AM211" s="65"/>
      <c r="AN211" s="65"/>
      <c r="AO211" s="65"/>
      <c r="AP211" s="65"/>
      <c r="AQ211" s="65"/>
      <c r="AR211" s="65"/>
      <c r="AS211" s="65"/>
      <c r="AT211" s="65"/>
      <c r="AU211" s="65"/>
      <c r="AV211" s="65"/>
    </row>
    <row r="212" spans="34:49" x14ac:dyDescent="0.25">
      <c r="AH212" s="65"/>
      <c r="AI212" s="65"/>
      <c r="AJ212" s="65"/>
      <c r="AK212" s="65"/>
      <c r="AL212" s="65"/>
      <c r="AM212" s="65"/>
      <c r="AN212" s="65"/>
      <c r="AO212" s="65"/>
      <c r="AP212" s="65"/>
      <c r="AQ212" s="65"/>
      <c r="AR212" s="65"/>
      <c r="AS212" s="65"/>
      <c r="AT212" s="65"/>
      <c r="AU212" s="65"/>
      <c r="AV212" s="65"/>
    </row>
    <row r="213" spans="34:49" x14ac:dyDescent="0.25">
      <c r="AH213" s="65"/>
      <c r="AI213" s="65"/>
      <c r="AJ213" s="65"/>
      <c r="AK213" s="65"/>
      <c r="AL213" s="65"/>
      <c r="AM213" s="65"/>
      <c r="AN213" s="65"/>
      <c r="AO213" s="65"/>
      <c r="AP213" s="65"/>
      <c r="AQ213" s="65"/>
      <c r="AR213" s="65"/>
      <c r="AS213" s="65"/>
      <c r="AT213" s="65"/>
      <c r="AU213" s="65"/>
      <c r="AV213" s="65"/>
    </row>
    <row r="214" spans="34:49" x14ac:dyDescent="0.25">
      <c r="AH214" s="65"/>
      <c r="AI214" s="65"/>
      <c r="AJ214" s="65"/>
      <c r="AK214" s="65"/>
      <c r="AL214" s="65"/>
      <c r="AM214" s="65"/>
      <c r="AN214" s="65"/>
      <c r="AO214" s="65"/>
      <c r="AP214" s="65"/>
      <c r="AQ214" s="65"/>
      <c r="AR214" s="65"/>
      <c r="AS214" s="65"/>
      <c r="AT214" s="65"/>
      <c r="AU214" s="65"/>
      <c r="AV214" s="65"/>
    </row>
    <row r="215" spans="34:49" x14ac:dyDescent="0.25">
      <c r="AH215" s="65"/>
      <c r="AI215" s="65"/>
      <c r="AJ215" s="65"/>
      <c r="AK215" s="65"/>
      <c r="AL215" s="65"/>
      <c r="AM215" s="65"/>
      <c r="AN215" s="65"/>
      <c r="AO215" s="65"/>
      <c r="AP215" s="65"/>
      <c r="AQ215" s="65"/>
      <c r="AR215" s="65"/>
      <c r="AS215" s="65"/>
      <c r="AT215" s="65"/>
      <c r="AU215" s="65"/>
      <c r="AV215" s="65"/>
    </row>
    <row r="216" spans="34:49" x14ac:dyDescent="0.25">
      <c r="AH216" s="65"/>
      <c r="AI216" s="65"/>
      <c r="AJ216" s="65"/>
      <c r="AK216" s="65"/>
      <c r="AL216" s="65"/>
      <c r="AM216" s="65"/>
      <c r="AN216" s="65"/>
      <c r="AO216" s="65"/>
      <c r="AP216" s="65"/>
      <c r="AQ216" s="65"/>
      <c r="AR216" s="65"/>
      <c r="AS216" s="65"/>
      <c r="AT216" s="65"/>
      <c r="AU216" s="65"/>
      <c r="AV216" s="65"/>
    </row>
    <row r="217" spans="34:49" x14ac:dyDescent="0.25">
      <c r="AH217" s="65"/>
      <c r="AI217" s="65"/>
      <c r="AJ217" s="65"/>
      <c r="AK217" s="65"/>
      <c r="AL217" s="65"/>
      <c r="AM217" s="65"/>
      <c r="AN217" s="65"/>
      <c r="AO217" s="65"/>
      <c r="AP217" s="65"/>
      <c r="AQ217" s="65"/>
      <c r="AR217" s="65"/>
      <c r="AS217" s="65"/>
      <c r="AT217" s="65"/>
      <c r="AU217" s="65"/>
      <c r="AV217" s="65"/>
    </row>
    <row r="218" spans="34:49" x14ac:dyDescent="0.25">
      <c r="AI218" s="65"/>
      <c r="AJ218" s="65"/>
      <c r="AK218" s="65"/>
      <c r="AL218" s="65"/>
      <c r="AM218" s="65"/>
      <c r="AN218" s="65"/>
      <c r="AO218" s="65"/>
      <c r="AP218" s="65"/>
      <c r="AQ218" s="65"/>
      <c r="AR218" s="65"/>
      <c r="AS218" s="65"/>
      <c r="AT218" s="65"/>
      <c r="AU218" s="65"/>
      <c r="AV218" s="65"/>
      <c r="AW218" s="65"/>
    </row>
    <row r="219" spans="34:49" x14ac:dyDescent="0.25">
      <c r="AI219" s="65"/>
      <c r="AJ219" s="65"/>
      <c r="AK219" s="65"/>
      <c r="AL219" s="65"/>
      <c r="AM219" s="65"/>
      <c r="AN219" s="65"/>
      <c r="AO219" s="65"/>
      <c r="AP219" s="65"/>
      <c r="AQ219" s="65"/>
      <c r="AR219" s="65"/>
      <c r="AS219" s="65"/>
      <c r="AT219" s="65"/>
      <c r="AU219" s="65"/>
      <c r="AV219" s="65"/>
      <c r="AW219" s="65"/>
    </row>
    <row r="220" spans="34:49" x14ac:dyDescent="0.25">
      <c r="AI220" s="65"/>
      <c r="AJ220" s="65"/>
      <c r="AK220" s="65"/>
      <c r="AL220" s="65"/>
      <c r="AM220" s="65"/>
      <c r="AN220" s="65"/>
      <c r="AO220" s="65"/>
      <c r="AP220" s="65"/>
      <c r="AQ220" s="65"/>
      <c r="AR220" s="65"/>
      <c r="AS220" s="65"/>
      <c r="AT220" s="65"/>
      <c r="AU220" s="65"/>
      <c r="AV220" s="65"/>
      <c r="AW220" s="65"/>
    </row>
    <row r="221" spans="34:49" x14ac:dyDescent="0.25">
      <c r="AI221" s="65"/>
      <c r="AJ221" s="65"/>
      <c r="AK221" s="65"/>
      <c r="AL221" s="65"/>
      <c r="AM221" s="65"/>
      <c r="AN221" s="65"/>
      <c r="AO221" s="65"/>
      <c r="AP221" s="65"/>
      <c r="AQ221" s="65"/>
      <c r="AR221" s="65"/>
      <c r="AS221" s="65"/>
      <c r="AT221" s="65"/>
      <c r="AU221" s="65"/>
      <c r="AV221" s="65"/>
      <c r="AW221" s="65"/>
    </row>
    <row r="222" spans="34:49" x14ac:dyDescent="0.25">
      <c r="AI222" s="65"/>
      <c r="AJ222" s="65"/>
      <c r="AK222" s="65"/>
      <c r="AL222" s="65"/>
      <c r="AM222" s="65"/>
      <c r="AN222" s="65"/>
      <c r="AO222" s="65"/>
      <c r="AP222" s="65"/>
      <c r="AQ222" s="65"/>
      <c r="AR222" s="65"/>
      <c r="AS222" s="65"/>
      <c r="AT222" s="65"/>
      <c r="AU222" s="65"/>
      <c r="AV222" s="65"/>
      <c r="AW222" s="65"/>
    </row>
    <row r="223" spans="34:49" x14ac:dyDescent="0.25">
      <c r="AI223" s="65"/>
      <c r="AJ223" s="65"/>
      <c r="AK223" s="65"/>
      <c r="AL223" s="65"/>
      <c r="AM223" s="65"/>
      <c r="AN223" s="65"/>
      <c r="AO223" s="65"/>
      <c r="AP223" s="65"/>
      <c r="AQ223" s="65"/>
      <c r="AR223" s="65"/>
      <c r="AS223" s="65"/>
      <c r="AT223" s="65"/>
      <c r="AU223" s="65"/>
      <c r="AV223" s="65"/>
      <c r="AW223" s="65"/>
    </row>
    <row r="224" spans="34:49" x14ac:dyDescent="0.25">
      <c r="AI224" s="65"/>
      <c r="AJ224" s="65"/>
      <c r="AK224" s="65"/>
      <c r="AL224" s="65"/>
      <c r="AM224" s="65"/>
      <c r="AN224" s="65"/>
      <c r="AO224" s="65"/>
      <c r="AP224" s="65"/>
      <c r="AQ224" s="65"/>
      <c r="AR224" s="65"/>
      <c r="AS224" s="65"/>
      <c r="AT224" s="65"/>
      <c r="AU224" s="65"/>
      <c r="AV224" s="65"/>
      <c r="AW224" s="65"/>
    </row>
    <row r="225" spans="35:52" x14ac:dyDescent="0.25">
      <c r="AI225" s="65"/>
      <c r="AJ225" s="65"/>
      <c r="AK225" s="65"/>
      <c r="AL225" s="65"/>
      <c r="AM225" s="65"/>
      <c r="AN225" s="65"/>
      <c r="AO225" s="65"/>
      <c r="AP225" s="65"/>
      <c r="AQ225" s="65"/>
      <c r="AR225" s="65"/>
      <c r="AS225" s="65"/>
      <c r="AT225" s="65"/>
      <c r="AU225" s="65"/>
      <c r="AV225" s="65"/>
      <c r="AW225" s="65"/>
    </row>
    <row r="226" spans="35:52" x14ac:dyDescent="0.25">
      <c r="AI226" s="65"/>
      <c r="AJ226" s="65"/>
      <c r="AK226" s="65"/>
      <c r="AL226" s="65"/>
      <c r="AM226" s="65"/>
      <c r="AN226" s="65"/>
      <c r="AO226" s="65"/>
      <c r="AP226" s="65"/>
      <c r="AQ226" s="65"/>
      <c r="AR226" s="65"/>
      <c r="AS226" s="65"/>
      <c r="AT226" s="65"/>
      <c r="AU226" s="65"/>
      <c r="AV226" s="65"/>
      <c r="AW226" s="65"/>
    </row>
    <row r="227" spans="35:52" x14ac:dyDescent="0.25">
      <c r="AI227" s="65"/>
      <c r="AJ227" s="65"/>
      <c r="AK227" s="65"/>
      <c r="AL227" s="65"/>
      <c r="AM227" s="65"/>
      <c r="AN227" s="65"/>
      <c r="AO227" s="65"/>
      <c r="AP227" s="65"/>
      <c r="AQ227" s="65"/>
      <c r="AR227" s="65"/>
      <c r="AS227" s="65"/>
      <c r="AT227" s="65"/>
      <c r="AU227" s="65"/>
      <c r="AV227" s="65"/>
      <c r="AW227" s="65"/>
    </row>
    <row r="228" spans="35:52" x14ac:dyDescent="0.25">
      <c r="AI228" s="65"/>
      <c r="AJ228" s="65"/>
      <c r="AK228" s="65"/>
      <c r="AL228" s="65"/>
      <c r="AM228" s="65"/>
      <c r="AN228" s="65"/>
      <c r="AO228" s="65"/>
      <c r="AP228" s="65"/>
      <c r="AQ228" s="65"/>
      <c r="AR228" s="65"/>
      <c r="AS228" s="65"/>
      <c r="AT228" s="65"/>
      <c r="AU228" s="65"/>
      <c r="AV228" s="65"/>
      <c r="AW228" s="65"/>
    </row>
    <row r="229" spans="35:52" x14ac:dyDescent="0.25">
      <c r="AI229" s="65"/>
      <c r="AJ229" s="65"/>
      <c r="AK229" s="65"/>
      <c r="AL229" s="65"/>
      <c r="AM229" s="65"/>
      <c r="AN229" s="65"/>
      <c r="AO229" s="65"/>
      <c r="AP229" s="65"/>
      <c r="AQ229" s="65"/>
      <c r="AR229" s="65"/>
      <c r="AS229" s="65"/>
      <c r="AT229" s="65"/>
      <c r="AU229" s="65"/>
      <c r="AV229" s="65"/>
      <c r="AW229" s="65"/>
    </row>
    <row r="230" spans="35:52" x14ac:dyDescent="0.25">
      <c r="AI230" s="65"/>
      <c r="AJ230" s="65"/>
      <c r="AK230" s="65"/>
      <c r="AL230" s="65"/>
      <c r="AM230" s="65"/>
      <c r="AN230" s="65"/>
      <c r="AO230" s="65"/>
      <c r="AP230" s="65"/>
      <c r="AQ230" s="65"/>
      <c r="AR230" s="65"/>
      <c r="AS230" s="65"/>
      <c r="AT230" s="65"/>
      <c r="AU230" s="65"/>
      <c r="AV230" s="65"/>
      <c r="AW230" s="65"/>
    </row>
    <row r="231" spans="35:52" x14ac:dyDescent="0.25">
      <c r="AI231" s="65"/>
      <c r="AJ231" s="65"/>
      <c r="AK231" s="65"/>
      <c r="AL231" s="65"/>
      <c r="AM231" s="65"/>
      <c r="AN231" s="65"/>
      <c r="AO231" s="65"/>
      <c r="AP231" s="65"/>
      <c r="AQ231" s="65"/>
      <c r="AR231" s="65"/>
      <c r="AS231" s="65"/>
      <c r="AT231" s="65"/>
      <c r="AU231" s="65"/>
      <c r="AV231" s="65"/>
      <c r="AW231" s="65"/>
      <c r="AZ231" s="86"/>
    </row>
    <row r="232" spans="35:52" x14ac:dyDescent="0.25">
      <c r="AI232" s="65"/>
      <c r="AJ232" s="65"/>
      <c r="AK232" s="65"/>
      <c r="AL232" s="65"/>
      <c r="AM232" s="65"/>
      <c r="AN232" s="65"/>
      <c r="AO232" s="65"/>
      <c r="AP232" s="65"/>
      <c r="AQ232" s="65"/>
      <c r="AR232" s="65"/>
      <c r="AS232" s="65"/>
      <c r="AT232" s="65"/>
      <c r="AU232" s="65"/>
      <c r="AV232" s="65"/>
      <c r="AW232" s="65"/>
    </row>
    <row r="233" spans="35:52" x14ac:dyDescent="0.25">
      <c r="AJ233" s="65"/>
      <c r="AK233" s="65"/>
      <c r="AL233" s="65"/>
      <c r="AM233" s="65"/>
      <c r="AN233" s="65"/>
      <c r="AO233" s="65"/>
      <c r="AP233" s="65"/>
      <c r="AQ233" s="65"/>
      <c r="AR233" s="65"/>
      <c r="AS233" s="65"/>
      <c r="AT233" s="65"/>
      <c r="AU233" s="65"/>
      <c r="AV233" s="65"/>
      <c r="AW233" s="65"/>
      <c r="AX233" s="65"/>
    </row>
    <row r="234" spans="35:52" x14ac:dyDescent="0.25">
      <c r="AK234" s="65"/>
      <c r="AL234" s="65"/>
      <c r="AM234" s="65"/>
      <c r="AN234" s="65"/>
      <c r="AO234" s="65"/>
      <c r="AP234" s="65"/>
      <c r="AQ234" s="65"/>
      <c r="AR234" s="65"/>
      <c r="AS234" s="65"/>
      <c r="AT234" s="65"/>
      <c r="AU234" s="65"/>
      <c r="AV234" s="65"/>
      <c r="AW234" s="65"/>
      <c r="AX234" s="65"/>
      <c r="AY234" s="65"/>
    </row>
    <row r="235" spans="35:52" x14ac:dyDescent="0.25">
      <c r="AK235" s="65"/>
      <c r="AL235" s="65"/>
      <c r="AM235" s="65"/>
      <c r="AN235" s="65"/>
      <c r="AO235" s="65"/>
      <c r="AP235" s="65"/>
      <c r="AQ235" s="65"/>
      <c r="AR235" s="65"/>
      <c r="AS235" s="65"/>
      <c r="AT235" s="65"/>
      <c r="AU235" s="65"/>
      <c r="AV235" s="65"/>
      <c r="AW235" s="65"/>
      <c r="AX235" s="65"/>
      <c r="AY235" s="65"/>
    </row>
    <row r="236" spans="35:52" x14ac:dyDescent="0.25">
      <c r="AK236" s="65"/>
      <c r="AL236" s="65"/>
      <c r="AM236" s="65"/>
      <c r="AN236" s="65"/>
      <c r="AO236" s="65"/>
      <c r="AP236" s="65"/>
      <c r="AQ236" s="65"/>
      <c r="AR236" s="65"/>
      <c r="AS236" s="65"/>
      <c r="AT236" s="65"/>
      <c r="AU236" s="65"/>
      <c r="AV236" s="65"/>
      <c r="AW236" s="65"/>
      <c r="AX236" s="65"/>
      <c r="AY236" s="65"/>
    </row>
    <row r="237" spans="35:52" x14ac:dyDescent="0.25">
      <c r="AK237" s="65"/>
      <c r="AL237" s="65"/>
      <c r="AM237" s="65"/>
      <c r="AN237" s="65"/>
      <c r="AO237" s="65"/>
      <c r="AP237" s="65"/>
      <c r="AQ237" s="65"/>
      <c r="AR237" s="65"/>
      <c r="AS237" s="65"/>
      <c r="AT237" s="65"/>
      <c r="AU237" s="65"/>
      <c r="AV237" s="65"/>
      <c r="AW237" s="65"/>
      <c r="AX237" s="65"/>
      <c r="AY237" s="65"/>
    </row>
    <row r="238" spans="35:52" x14ac:dyDescent="0.25">
      <c r="AK238" s="65"/>
      <c r="AL238" s="65"/>
      <c r="AM238" s="65"/>
      <c r="AN238" s="65"/>
      <c r="AO238" s="65"/>
      <c r="AP238" s="65"/>
      <c r="AQ238" s="65"/>
      <c r="AR238" s="65"/>
      <c r="AS238" s="65"/>
      <c r="AT238" s="65"/>
      <c r="AU238" s="65"/>
      <c r="AV238" s="65"/>
      <c r="AW238" s="65"/>
      <c r="AX238" s="65"/>
      <c r="AY238" s="65"/>
    </row>
    <row r="239" spans="35:52" x14ac:dyDescent="0.25">
      <c r="AK239" s="65"/>
      <c r="AL239" s="65"/>
      <c r="AM239" s="65"/>
      <c r="AN239" s="65"/>
      <c r="AO239" s="65"/>
      <c r="AP239" s="65"/>
      <c r="AQ239" s="65"/>
      <c r="AR239" s="65"/>
      <c r="AS239" s="65"/>
      <c r="AT239" s="65"/>
      <c r="AU239" s="65"/>
      <c r="AV239" s="65"/>
      <c r="AW239" s="65"/>
      <c r="AX239" s="65"/>
      <c r="AY239" s="65"/>
    </row>
  </sheetData>
  <autoFilter ref="A58:F137" xr:uid="{9A77BE7D-B3BF-4C1F-9E95-DF182B5A7F0C}"/>
  <conditionalFormatting sqref="BH17:BH24 BH33:BH41">
    <cfRule type="expression" dxfId="2" priority="1">
      <formula>ABS($BA17)&lt;1</formula>
    </cfRule>
  </conditionalFormatting>
  <dataValidations disablePrompts="1" count="1">
    <dataValidation type="list" allowBlank="1" showInputMessage="1" showErrorMessage="1" sqref="C134 C127 C119" xr:uid="{900D1436-A04F-404A-837F-32F2F73AD556}">
      <formula1>$F$3:$F$33</formula1>
    </dataValidation>
  </dataValidations>
  <pageMargins left="0.7" right="0.7" top="0.75" bottom="0.75" header="0.3" footer="0.3"/>
  <pageSetup orientation="portrait" r:id="rId1"/>
  <drawing r:id="rId2"/>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9D7D1-7FB7-49EF-A33D-DA2D0C23E0C5}">
  <sheetPr>
    <tabColor theme="5" tint="0.79998168889431442"/>
  </sheetPr>
  <dimension ref="A1:Y99"/>
  <sheetViews>
    <sheetView workbookViewId="0"/>
  </sheetViews>
  <sheetFormatPr defaultColWidth="8.85546875" defaultRowHeight="15" x14ac:dyDescent="0.25"/>
  <cols>
    <col min="1" max="1" width="19.140625" style="63" customWidth="1"/>
    <col min="2" max="2" width="8.85546875" style="63"/>
    <col min="3" max="3" width="9.140625" style="63" customWidth="1"/>
    <col min="4" max="16384" width="8.85546875" style="63"/>
  </cols>
  <sheetData>
    <row r="1" spans="1:21" x14ac:dyDescent="0.25">
      <c r="A1" s="63" t="s">
        <v>862</v>
      </c>
      <c r="B1" s="387" t="s">
        <v>863</v>
      </c>
    </row>
    <row r="3" spans="1:21" x14ac:dyDescent="0.25">
      <c r="A3" s="74" t="s">
        <v>864</v>
      </c>
      <c r="C3" s="63">
        <v>1</v>
      </c>
      <c r="D3" s="63">
        <v>2</v>
      </c>
      <c r="F3" s="63">
        <v>3</v>
      </c>
      <c r="H3" s="63">
        <v>4</v>
      </c>
      <c r="J3" s="63">
        <v>5</v>
      </c>
      <c r="L3" s="63">
        <v>6</v>
      </c>
      <c r="N3" s="63">
        <v>7</v>
      </c>
      <c r="P3" s="63">
        <v>8</v>
      </c>
      <c r="R3" s="63">
        <v>9</v>
      </c>
      <c r="T3" s="63">
        <v>10</v>
      </c>
    </row>
    <row r="4" spans="1:21" x14ac:dyDescent="0.25">
      <c r="C4" s="63" t="s">
        <v>865</v>
      </c>
      <c r="D4" s="63" t="s">
        <v>866</v>
      </c>
      <c r="F4" s="63" t="s">
        <v>867</v>
      </c>
      <c r="H4" s="63" t="s">
        <v>868</v>
      </c>
      <c r="J4" s="63" t="s">
        <v>869</v>
      </c>
      <c r="L4" s="63" t="s">
        <v>870</v>
      </c>
      <c r="N4" s="63" t="s">
        <v>871</v>
      </c>
      <c r="P4" s="63" t="s">
        <v>872</v>
      </c>
      <c r="R4" s="63" t="s">
        <v>873</v>
      </c>
      <c r="T4" s="63" t="s">
        <v>874</v>
      </c>
    </row>
    <row r="5" spans="1:21" x14ac:dyDescent="0.25">
      <c r="C5" s="63">
        <v>2003</v>
      </c>
      <c r="D5" s="63">
        <v>2003</v>
      </c>
      <c r="E5" s="63">
        <v>2004</v>
      </c>
      <c r="F5" s="63">
        <v>2004</v>
      </c>
      <c r="G5" s="63">
        <v>2005</v>
      </c>
      <c r="H5" s="63">
        <v>2005</v>
      </c>
      <c r="I5" s="63">
        <v>2006</v>
      </c>
      <c r="J5" s="63">
        <v>2006</v>
      </c>
      <c r="K5" s="63">
        <v>2007</v>
      </c>
      <c r="L5" s="63">
        <v>2007</v>
      </c>
      <c r="N5" s="63">
        <v>2008</v>
      </c>
      <c r="O5" s="63">
        <v>2009</v>
      </c>
      <c r="P5" s="63">
        <v>2009</v>
      </c>
      <c r="Q5" s="63">
        <v>2010</v>
      </c>
      <c r="R5" s="63">
        <v>2010</v>
      </c>
      <c r="S5" s="63">
        <v>2011</v>
      </c>
      <c r="T5" s="63">
        <v>2012</v>
      </c>
      <c r="U5" s="63">
        <v>2013</v>
      </c>
    </row>
    <row r="6" spans="1:21" x14ac:dyDescent="0.25">
      <c r="A6" s="63" t="s">
        <v>875</v>
      </c>
      <c r="B6" s="63" t="s">
        <v>727</v>
      </c>
      <c r="C6" s="63">
        <v>40</v>
      </c>
      <c r="D6" s="63">
        <v>43</v>
      </c>
      <c r="E6" s="63">
        <v>45</v>
      </c>
      <c r="F6" s="63">
        <v>47</v>
      </c>
      <c r="G6" s="63">
        <v>53</v>
      </c>
      <c r="H6" s="63">
        <v>53</v>
      </c>
      <c r="I6" s="63">
        <v>58</v>
      </c>
      <c r="J6" s="63">
        <v>60</v>
      </c>
      <c r="K6" s="63">
        <v>61</v>
      </c>
      <c r="L6" s="63">
        <v>61</v>
      </c>
      <c r="N6" s="63">
        <v>61</v>
      </c>
      <c r="O6" s="63">
        <v>57</v>
      </c>
      <c r="P6" s="63">
        <v>58</v>
      </c>
      <c r="R6" s="63">
        <v>62</v>
      </c>
      <c r="S6" s="63">
        <v>63</v>
      </c>
      <c r="T6" s="63">
        <v>61</v>
      </c>
      <c r="U6" s="63">
        <v>60</v>
      </c>
    </row>
    <row r="7" spans="1:21" x14ac:dyDescent="0.25">
      <c r="B7" s="63" t="s">
        <v>728</v>
      </c>
      <c r="C7" s="63">
        <v>4</v>
      </c>
      <c r="D7" s="63">
        <v>49</v>
      </c>
      <c r="E7" s="63">
        <v>52</v>
      </c>
      <c r="F7" s="63">
        <v>58</v>
      </c>
      <c r="G7" s="63">
        <v>62</v>
      </c>
      <c r="H7" s="63">
        <v>62</v>
      </c>
      <c r="I7" s="63">
        <v>64</v>
      </c>
      <c r="J7" s="63">
        <v>68</v>
      </c>
      <c r="K7" s="63">
        <v>68</v>
      </c>
      <c r="L7" s="63">
        <v>68</v>
      </c>
      <c r="N7" s="63">
        <v>71</v>
      </c>
      <c r="O7" s="63">
        <v>71</v>
      </c>
      <c r="P7" s="63">
        <v>72</v>
      </c>
      <c r="R7" s="63">
        <v>78</v>
      </c>
      <c r="S7" s="63">
        <v>86</v>
      </c>
      <c r="T7" s="63">
        <v>91</v>
      </c>
      <c r="U7" s="63">
        <v>92</v>
      </c>
    </row>
    <row r="8" spans="1:21" x14ac:dyDescent="0.25">
      <c r="B8" s="63" t="s">
        <v>627</v>
      </c>
      <c r="C8" s="63">
        <v>105</v>
      </c>
      <c r="D8" s="63">
        <v>92</v>
      </c>
      <c r="E8" s="63">
        <v>105</v>
      </c>
      <c r="F8" s="63">
        <v>103</v>
      </c>
      <c r="G8" s="63">
        <v>108</v>
      </c>
      <c r="H8" s="63">
        <v>108</v>
      </c>
      <c r="I8" s="63">
        <v>108</v>
      </c>
      <c r="J8" s="63">
        <v>108</v>
      </c>
      <c r="K8" s="63">
        <v>116</v>
      </c>
      <c r="L8" s="63">
        <v>116</v>
      </c>
      <c r="N8" s="63">
        <f>79+52</f>
        <v>131</v>
      </c>
      <c r="O8" s="63">
        <f>76+46</f>
        <v>122</v>
      </c>
      <c r="P8" s="63">
        <f>69+53</f>
        <v>122</v>
      </c>
      <c r="R8" s="63">
        <f>72+60</f>
        <v>132</v>
      </c>
      <c r="S8" s="63">
        <f>75+75</f>
        <v>150</v>
      </c>
      <c r="T8" s="63">
        <f>78+71</f>
        <v>149</v>
      </c>
      <c r="U8" s="63">
        <f>80+73</f>
        <v>153</v>
      </c>
    </row>
    <row r="9" spans="1:21" x14ac:dyDescent="0.25">
      <c r="A9" s="63" t="s">
        <v>876</v>
      </c>
      <c r="B9" s="63" t="s">
        <v>627</v>
      </c>
      <c r="C9" s="63">
        <v>30</v>
      </c>
      <c r="D9" s="63">
        <v>41</v>
      </c>
      <c r="E9" s="63">
        <v>41</v>
      </c>
      <c r="F9" s="63">
        <v>30</v>
      </c>
      <c r="G9" s="63">
        <v>31</v>
      </c>
      <c r="H9" s="63">
        <v>31</v>
      </c>
      <c r="I9" s="63">
        <v>30</v>
      </c>
      <c r="J9" s="63">
        <v>28</v>
      </c>
      <c r="K9" s="63">
        <v>31.5</v>
      </c>
      <c r="L9" s="63">
        <v>31.5</v>
      </c>
      <c r="N9" s="63">
        <v>30</v>
      </c>
      <c r="O9" s="63">
        <f>14+11</f>
        <v>25</v>
      </c>
      <c r="P9" s="63">
        <f>12+8</f>
        <v>20</v>
      </c>
      <c r="R9" s="63">
        <f>12+6</f>
        <v>18</v>
      </c>
      <c r="S9" s="63">
        <f>14+8</f>
        <v>22</v>
      </c>
      <c r="T9" s="63">
        <f>14+8</f>
        <v>22</v>
      </c>
      <c r="U9" s="63">
        <f>16+9</f>
        <v>25</v>
      </c>
    </row>
    <row r="10" spans="1:21" x14ac:dyDescent="0.25">
      <c r="B10" s="63" t="s">
        <v>728</v>
      </c>
      <c r="C10" s="63">
        <v>15</v>
      </c>
      <c r="D10" s="63">
        <v>20</v>
      </c>
      <c r="E10" s="63">
        <v>22</v>
      </c>
      <c r="F10" s="63">
        <v>23</v>
      </c>
      <c r="G10" s="63">
        <v>23</v>
      </c>
      <c r="H10" s="63">
        <v>23</v>
      </c>
      <c r="I10" s="63">
        <v>23</v>
      </c>
      <c r="J10" s="63">
        <v>24</v>
      </c>
      <c r="K10" s="63">
        <v>27</v>
      </c>
      <c r="L10" s="63">
        <v>27</v>
      </c>
      <c r="N10" s="63">
        <v>13</v>
      </c>
      <c r="O10" s="63">
        <v>11</v>
      </c>
      <c r="P10" s="63">
        <v>18</v>
      </c>
      <c r="R10" s="63">
        <v>18</v>
      </c>
      <c r="S10" s="63">
        <v>19</v>
      </c>
      <c r="T10" s="63">
        <v>25</v>
      </c>
      <c r="U10" s="63">
        <v>25</v>
      </c>
    </row>
    <row r="11" spans="1:21" x14ac:dyDescent="0.25">
      <c r="B11" s="63" t="s">
        <v>727</v>
      </c>
      <c r="C11" s="63">
        <v>1</v>
      </c>
      <c r="D11" s="63">
        <v>2</v>
      </c>
      <c r="E11" s="63">
        <v>2</v>
      </c>
      <c r="F11" s="63">
        <v>0.2</v>
      </c>
      <c r="G11" s="63">
        <v>0.2</v>
      </c>
      <c r="H11" s="63">
        <v>0.2</v>
      </c>
      <c r="I11" s="63">
        <v>0.2</v>
      </c>
      <c r="J11" s="63">
        <v>2</v>
      </c>
      <c r="K11" s="63">
        <v>2.5</v>
      </c>
      <c r="L11" s="63">
        <v>2.5</v>
      </c>
      <c r="N11" s="63">
        <v>1.3</v>
      </c>
      <c r="O11" s="63">
        <v>1.4</v>
      </c>
      <c r="P11" s="63">
        <v>0.2</v>
      </c>
      <c r="R11" s="63">
        <v>0.1</v>
      </c>
      <c r="S11" s="63">
        <v>0.1</v>
      </c>
      <c r="T11" s="63">
        <v>0.1</v>
      </c>
      <c r="U11" s="63">
        <v>0.1</v>
      </c>
    </row>
    <row r="12" spans="1:21" x14ac:dyDescent="0.25">
      <c r="B12" s="63" t="s">
        <v>877</v>
      </c>
      <c r="C12" s="63">
        <v>65</v>
      </c>
      <c r="D12" s="63">
        <v>61</v>
      </c>
      <c r="E12" s="63">
        <v>62</v>
      </c>
      <c r="F12" s="63">
        <v>73</v>
      </c>
      <c r="G12" s="63">
        <v>75</v>
      </c>
      <c r="H12" s="63">
        <v>75</v>
      </c>
      <c r="I12" s="63">
        <v>75</v>
      </c>
      <c r="J12" s="63">
        <v>67</v>
      </c>
      <c r="K12" s="63">
        <v>68</v>
      </c>
      <c r="L12" s="63">
        <v>68</v>
      </c>
      <c r="N12" s="63">
        <v>68</v>
      </c>
      <c r="O12" s="63">
        <v>75</v>
      </c>
      <c r="P12" s="63">
        <v>75</v>
      </c>
      <c r="R12" s="63">
        <v>76</v>
      </c>
      <c r="S12" s="63">
        <v>83</v>
      </c>
      <c r="T12" s="63">
        <v>82</v>
      </c>
      <c r="U12" s="63">
        <v>85</v>
      </c>
    </row>
    <row r="14" spans="1:21" x14ac:dyDescent="0.25">
      <c r="C14" s="63" t="s">
        <v>865</v>
      </c>
      <c r="D14" s="63" t="s">
        <v>866</v>
      </c>
      <c r="E14" s="63" t="s">
        <v>867</v>
      </c>
      <c r="F14" s="63" t="s">
        <v>868</v>
      </c>
      <c r="G14" s="63" t="s">
        <v>869</v>
      </c>
      <c r="H14" s="63" t="s">
        <v>870</v>
      </c>
      <c r="I14" s="63" t="s">
        <v>871</v>
      </c>
      <c r="J14" s="63" t="s">
        <v>872</v>
      </c>
      <c r="K14" s="63" t="s">
        <v>873</v>
      </c>
      <c r="L14" s="63" t="s">
        <v>874</v>
      </c>
    </row>
    <row r="15" spans="1:21" x14ac:dyDescent="0.25">
      <c r="C15" s="63">
        <v>2003</v>
      </c>
      <c r="D15" s="63">
        <v>2004</v>
      </c>
      <c r="E15" s="63">
        <v>2005</v>
      </c>
      <c r="F15" s="63">
        <v>2006</v>
      </c>
      <c r="G15" s="63">
        <v>2007</v>
      </c>
      <c r="H15" s="63">
        <v>2008</v>
      </c>
      <c r="I15" s="63">
        <v>2009</v>
      </c>
      <c r="J15" s="63">
        <v>2010</v>
      </c>
      <c r="K15" s="63">
        <v>2011</v>
      </c>
      <c r="L15" s="63">
        <v>2012</v>
      </c>
    </row>
    <row r="16" spans="1:21" x14ac:dyDescent="0.25">
      <c r="A16" s="63" t="s">
        <v>875</v>
      </c>
      <c r="B16" s="63" t="s">
        <v>727</v>
      </c>
      <c r="C16" s="63">
        <v>43</v>
      </c>
      <c r="D16" s="63">
        <v>47</v>
      </c>
      <c r="E16" s="63">
        <v>53</v>
      </c>
      <c r="F16" s="63">
        <v>60</v>
      </c>
      <c r="G16" s="63">
        <v>61</v>
      </c>
      <c r="H16" s="63">
        <f t="shared" ref="H16:H22" si="0">N6</f>
        <v>61</v>
      </c>
      <c r="I16" s="63">
        <f t="shared" ref="I16:I22" si="1">P6</f>
        <v>58</v>
      </c>
      <c r="J16" s="63">
        <f t="shared" ref="J16:L22" si="2">R6</f>
        <v>62</v>
      </c>
      <c r="K16" s="63">
        <f t="shared" si="2"/>
        <v>63</v>
      </c>
      <c r="L16" s="63">
        <f t="shared" si="2"/>
        <v>61</v>
      </c>
    </row>
    <row r="17" spans="1:12" x14ac:dyDescent="0.25">
      <c r="B17" s="63" t="s">
        <v>728</v>
      </c>
      <c r="C17" s="63">
        <v>49</v>
      </c>
      <c r="D17" s="63">
        <v>58</v>
      </c>
      <c r="E17" s="63">
        <v>62</v>
      </c>
      <c r="F17" s="63">
        <v>68</v>
      </c>
      <c r="G17" s="63">
        <v>68</v>
      </c>
      <c r="H17" s="63">
        <f t="shared" si="0"/>
        <v>71</v>
      </c>
      <c r="I17" s="63">
        <f t="shared" si="1"/>
        <v>72</v>
      </c>
      <c r="J17" s="63">
        <f t="shared" si="2"/>
        <v>78</v>
      </c>
      <c r="K17" s="63">
        <f t="shared" si="2"/>
        <v>86</v>
      </c>
      <c r="L17" s="63">
        <f t="shared" si="2"/>
        <v>91</v>
      </c>
    </row>
    <row r="18" spans="1:12" x14ac:dyDescent="0.25">
      <c r="B18" s="63" t="s">
        <v>627</v>
      </c>
      <c r="C18" s="63">
        <v>92</v>
      </c>
      <c r="D18" s="63">
        <v>103</v>
      </c>
      <c r="E18" s="63">
        <v>108</v>
      </c>
      <c r="F18" s="63">
        <v>108</v>
      </c>
      <c r="G18" s="63">
        <v>116</v>
      </c>
      <c r="H18" s="63">
        <f t="shared" si="0"/>
        <v>131</v>
      </c>
      <c r="I18" s="63">
        <f t="shared" si="1"/>
        <v>122</v>
      </c>
      <c r="J18" s="63">
        <f t="shared" si="2"/>
        <v>132</v>
      </c>
      <c r="K18" s="63">
        <f t="shared" si="2"/>
        <v>150</v>
      </c>
      <c r="L18" s="63">
        <f t="shared" si="2"/>
        <v>149</v>
      </c>
    </row>
    <row r="19" spans="1:12" x14ac:dyDescent="0.25">
      <c r="A19" s="63" t="s">
        <v>876</v>
      </c>
      <c r="B19" s="63" t="s">
        <v>627</v>
      </c>
      <c r="C19" s="63">
        <v>41</v>
      </c>
      <c r="D19" s="63">
        <v>30</v>
      </c>
      <c r="E19" s="63">
        <v>31</v>
      </c>
      <c r="F19" s="63">
        <v>28</v>
      </c>
      <c r="G19" s="63">
        <v>31.5</v>
      </c>
      <c r="H19" s="63">
        <f t="shared" si="0"/>
        <v>30</v>
      </c>
      <c r="I19" s="63">
        <f t="shared" si="1"/>
        <v>20</v>
      </c>
      <c r="J19" s="63">
        <f t="shared" si="2"/>
        <v>18</v>
      </c>
      <c r="K19" s="63">
        <f t="shared" si="2"/>
        <v>22</v>
      </c>
      <c r="L19" s="63">
        <f t="shared" si="2"/>
        <v>22</v>
      </c>
    </row>
    <row r="20" spans="1:12" x14ac:dyDescent="0.25">
      <c r="B20" s="63" t="s">
        <v>728</v>
      </c>
      <c r="C20" s="63">
        <v>20</v>
      </c>
      <c r="D20" s="63">
        <v>23</v>
      </c>
      <c r="E20" s="63">
        <v>23</v>
      </c>
      <c r="F20" s="63">
        <v>24</v>
      </c>
      <c r="G20" s="63">
        <v>27</v>
      </c>
      <c r="H20" s="63">
        <f t="shared" si="0"/>
        <v>13</v>
      </c>
      <c r="I20" s="63">
        <f t="shared" si="1"/>
        <v>18</v>
      </c>
      <c r="J20" s="63">
        <f t="shared" si="2"/>
        <v>18</v>
      </c>
      <c r="K20" s="63">
        <f t="shared" si="2"/>
        <v>19</v>
      </c>
      <c r="L20" s="63">
        <f t="shared" si="2"/>
        <v>25</v>
      </c>
    </row>
    <row r="21" spans="1:12" x14ac:dyDescent="0.25">
      <c r="B21" s="63" t="s">
        <v>727</v>
      </c>
      <c r="C21" s="63">
        <v>2</v>
      </c>
      <c r="D21" s="63">
        <v>0.2</v>
      </c>
      <c r="E21" s="63">
        <v>0.2</v>
      </c>
      <c r="F21" s="63">
        <v>2</v>
      </c>
      <c r="G21" s="63">
        <v>2.5</v>
      </c>
      <c r="H21" s="63">
        <f t="shared" si="0"/>
        <v>1.3</v>
      </c>
      <c r="I21" s="63">
        <f t="shared" si="1"/>
        <v>0.2</v>
      </c>
      <c r="J21" s="63">
        <f t="shared" si="2"/>
        <v>0.1</v>
      </c>
      <c r="K21" s="63">
        <f t="shared" si="2"/>
        <v>0.1</v>
      </c>
      <c r="L21" s="63">
        <f t="shared" si="2"/>
        <v>0.1</v>
      </c>
    </row>
    <row r="22" spans="1:12" x14ac:dyDescent="0.25">
      <c r="B22" s="63" t="s">
        <v>877</v>
      </c>
      <c r="C22" s="63">
        <v>61</v>
      </c>
      <c r="D22" s="63">
        <v>73</v>
      </c>
      <c r="E22" s="63">
        <v>75</v>
      </c>
      <c r="F22" s="63">
        <v>67</v>
      </c>
      <c r="G22" s="63">
        <v>68</v>
      </c>
      <c r="H22" s="63">
        <f t="shared" si="0"/>
        <v>68</v>
      </c>
      <c r="I22" s="63">
        <f t="shared" si="1"/>
        <v>75</v>
      </c>
      <c r="J22" s="63">
        <f t="shared" si="2"/>
        <v>76</v>
      </c>
      <c r="K22" s="63">
        <f t="shared" si="2"/>
        <v>83</v>
      </c>
      <c r="L22" s="63">
        <f t="shared" si="2"/>
        <v>82</v>
      </c>
    </row>
    <row r="23" spans="1:12" x14ac:dyDescent="0.25">
      <c r="B23" s="63" t="s">
        <v>878</v>
      </c>
      <c r="C23" s="63">
        <f t="shared" ref="C23:L23" si="3">SUM(C16:C22)</f>
        <v>308</v>
      </c>
      <c r="D23" s="63">
        <f t="shared" si="3"/>
        <v>334.2</v>
      </c>
      <c r="E23" s="63">
        <f t="shared" si="3"/>
        <v>352.2</v>
      </c>
      <c r="F23" s="63">
        <f t="shared" si="3"/>
        <v>357</v>
      </c>
      <c r="G23" s="63">
        <f t="shared" si="3"/>
        <v>374</v>
      </c>
      <c r="H23" s="63">
        <f t="shared" si="3"/>
        <v>375.3</v>
      </c>
      <c r="I23" s="63">
        <f t="shared" si="3"/>
        <v>365.2</v>
      </c>
      <c r="J23" s="63">
        <f t="shared" si="3"/>
        <v>384.1</v>
      </c>
      <c r="K23" s="63">
        <f t="shared" si="3"/>
        <v>423.1</v>
      </c>
      <c r="L23" s="63">
        <f t="shared" si="3"/>
        <v>430.1</v>
      </c>
    </row>
    <row r="25" spans="1:12" x14ac:dyDescent="0.25">
      <c r="A25" s="63" t="s">
        <v>879</v>
      </c>
      <c r="B25" s="63" t="s">
        <v>878</v>
      </c>
      <c r="C25" s="63">
        <f t="shared" ref="C25:L25" si="4">C18+C19</f>
        <v>133</v>
      </c>
      <c r="D25" s="63">
        <f t="shared" si="4"/>
        <v>133</v>
      </c>
      <c r="E25" s="63">
        <f t="shared" si="4"/>
        <v>139</v>
      </c>
      <c r="F25" s="63">
        <f t="shared" si="4"/>
        <v>136</v>
      </c>
      <c r="G25" s="63">
        <f t="shared" si="4"/>
        <v>147.5</v>
      </c>
      <c r="H25" s="63">
        <f t="shared" si="4"/>
        <v>161</v>
      </c>
      <c r="I25" s="63">
        <f t="shared" si="4"/>
        <v>142</v>
      </c>
      <c r="J25" s="63">
        <f t="shared" si="4"/>
        <v>150</v>
      </c>
      <c r="K25" s="63">
        <f t="shared" si="4"/>
        <v>172</v>
      </c>
      <c r="L25" s="63">
        <f t="shared" si="4"/>
        <v>171</v>
      </c>
    </row>
    <row r="26" spans="1:12" x14ac:dyDescent="0.25">
      <c r="B26" s="63" t="s">
        <v>880</v>
      </c>
      <c r="C26" s="388">
        <f t="shared" ref="C26:L26" si="5">C18/C25</f>
        <v>0.69172932330827064</v>
      </c>
      <c r="D26" s="388">
        <f t="shared" si="5"/>
        <v>0.77443609022556392</v>
      </c>
      <c r="E26" s="388">
        <f t="shared" si="5"/>
        <v>0.7769784172661871</v>
      </c>
      <c r="F26" s="388">
        <f t="shared" si="5"/>
        <v>0.79411764705882348</v>
      </c>
      <c r="G26" s="388">
        <f t="shared" si="5"/>
        <v>0.78644067796610173</v>
      </c>
      <c r="H26" s="388">
        <f t="shared" si="5"/>
        <v>0.81366459627329191</v>
      </c>
      <c r="I26" s="388">
        <f t="shared" si="5"/>
        <v>0.85915492957746475</v>
      </c>
      <c r="J26" s="388">
        <f t="shared" si="5"/>
        <v>0.88</v>
      </c>
      <c r="K26" s="388">
        <f t="shared" si="5"/>
        <v>0.87209302325581395</v>
      </c>
      <c r="L26" s="388">
        <f t="shared" si="5"/>
        <v>0.87134502923976609</v>
      </c>
    </row>
    <row r="27" spans="1:12" x14ac:dyDescent="0.25">
      <c r="B27" s="63" t="s">
        <v>881</v>
      </c>
      <c r="C27" s="388">
        <f t="shared" ref="C27:L27" si="6">C19/C25</f>
        <v>0.30827067669172931</v>
      </c>
      <c r="D27" s="388">
        <f t="shared" si="6"/>
        <v>0.22556390977443608</v>
      </c>
      <c r="E27" s="388">
        <f t="shared" si="6"/>
        <v>0.22302158273381295</v>
      </c>
      <c r="F27" s="388">
        <f t="shared" si="6"/>
        <v>0.20588235294117646</v>
      </c>
      <c r="G27" s="388">
        <f t="shared" si="6"/>
        <v>0.2135593220338983</v>
      </c>
      <c r="H27" s="388">
        <f t="shared" si="6"/>
        <v>0.18633540372670807</v>
      </c>
      <c r="I27" s="388">
        <f t="shared" si="6"/>
        <v>0.14084507042253522</v>
      </c>
      <c r="J27" s="388">
        <f t="shared" si="6"/>
        <v>0.12</v>
      </c>
      <c r="K27" s="388">
        <f t="shared" si="6"/>
        <v>0.12790697674418605</v>
      </c>
      <c r="L27" s="388">
        <f t="shared" si="6"/>
        <v>0.12865497076023391</v>
      </c>
    </row>
    <row r="28" spans="1:12" x14ac:dyDescent="0.25">
      <c r="C28" s="388"/>
      <c r="D28" s="388"/>
      <c r="E28" s="388"/>
      <c r="F28" s="388"/>
      <c r="G28" s="388"/>
      <c r="H28" s="388"/>
      <c r="I28" s="388"/>
      <c r="J28" s="388"/>
      <c r="K28" s="388"/>
      <c r="L28" s="388"/>
    </row>
    <row r="29" spans="1:12" x14ac:dyDescent="0.25">
      <c r="A29" s="63" t="s">
        <v>882</v>
      </c>
      <c r="C29" s="63">
        <f t="shared" ref="C29:L29" si="7">C15</f>
        <v>2003</v>
      </c>
      <c r="D29" s="63">
        <f t="shared" si="7"/>
        <v>2004</v>
      </c>
      <c r="E29" s="63">
        <f t="shared" si="7"/>
        <v>2005</v>
      </c>
      <c r="F29" s="63">
        <f t="shared" si="7"/>
        <v>2006</v>
      </c>
      <c r="G29" s="63">
        <f t="shared" si="7"/>
        <v>2007</v>
      </c>
      <c r="H29" s="63">
        <f t="shared" si="7"/>
        <v>2008</v>
      </c>
      <c r="I29" s="63">
        <f t="shared" si="7"/>
        <v>2009</v>
      </c>
      <c r="J29" s="63">
        <f t="shared" si="7"/>
        <v>2010</v>
      </c>
      <c r="K29" s="63">
        <f t="shared" si="7"/>
        <v>2011</v>
      </c>
      <c r="L29" s="63">
        <f t="shared" si="7"/>
        <v>2012</v>
      </c>
    </row>
    <row r="30" spans="1:12" x14ac:dyDescent="0.25">
      <c r="A30" s="63" t="s">
        <v>883</v>
      </c>
      <c r="C30" s="389">
        <f t="shared" ref="C30:L30" si="8">SUM(C19:C21)/SUM(C19:C21,C16:C18)</f>
        <v>0.25506072874493929</v>
      </c>
      <c r="D30" s="389">
        <f t="shared" si="8"/>
        <v>0.20367534456355285</v>
      </c>
      <c r="E30" s="389">
        <f t="shared" si="8"/>
        <v>0.19552669552669555</v>
      </c>
      <c r="F30" s="389">
        <f t="shared" si="8"/>
        <v>0.18620689655172415</v>
      </c>
      <c r="G30" s="389">
        <f t="shared" si="8"/>
        <v>0.19934640522875818</v>
      </c>
      <c r="H30" s="389">
        <f t="shared" si="8"/>
        <v>0.14415880247315327</v>
      </c>
      <c r="I30" s="389">
        <f t="shared" si="8"/>
        <v>0.13163335630599587</v>
      </c>
      <c r="J30" s="389">
        <f t="shared" si="8"/>
        <v>0.11716975008114248</v>
      </c>
      <c r="K30" s="389">
        <f t="shared" si="8"/>
        <v>0.12084680976183475</v>
      </c>
      <c r="L30" s="389">
        <f t="shared" si="8"/>
        <v>0.13530594656707842</v>
      </c>
    </row>
    <row r="31" spans="1:12" x14ac:dyDescent="0.25">
      <c r="A31" s="63" t="s">
        <v>884</v>
      </c>
      <c r="C31" s="389">
        <f t="shared" ref="C31:L31" si="9">C19/SUM(C18,C19)</f>
        <v>0.30827067669172931</v>
      </c>
      <c r="D31" s="389">
        <f t="shared" si="9"/>
        <v>0.22556390977443608</v>
      </c>
      <c r="E31" s="389">
        <f t="shared" si="9"/>
        <v>0.22302158273381295</v>
      </c>
      <c r="F31" s="389">
        <f t="shared" si="9"/>
        <v>0.20588235294117646</v>
      </c>
      <c r="G31" s="389">
        <f t="shared" si="9"/>
        <v>0.2135593220338983</v>
      </c>
      <c r="H31" s="389">
        <f t="shared" si="9"/>
        <v>0.18633540372670807</v>
      </c>
      <c r="I31" s="389">
        <f t="shared" si="9"/>
        <v>0.14084507042253522</v>
      </c>
      <c r="J31" s="389">
        <f t="shared" si="9"/>
        <v>0.12</v>
      </c>
      <c r="K31" s="389">
        <f t="shared" si="9"/>
        <v>0.12790697674418605</v>
      </c>
      <c r="L31" s="389">
        <f t="shared" si="9"/>
        <v>0.12865497076023391</v>
      </c>
    </row>
    <row r="33" spans="1:25" x14ac:dyDescent="0.25">
      <c r="A33" s="63" t="s">
        <v>885</v>
      </c>
      <c r="B33" s="63" t="str">
        <f t="shared" ref="B33:B40" si="10">B16</f>
        <v>Metro</v>
      </c>
      <c r="D33" s="388">
        <f t="shared" ref="D33:L40" si="11">D16/C16-1</f>
        <v>9.3023255813953432E-2</v>
      </c>
      <c r="E33" s="388">
        <f t="shared" si="11"/>
        <v>0.12765957446808507</v>
      </c>
      <c r="F33" s="388">
        <f t="shared" si="11"/>
        <v>0.13207547169811318</v>
      </c>
      <c r="G33" s="388">
        <f t="shared" si="11"/>
        <v>1.6666666666666607E-2</v>
      </c>
      <c r="H33" s="388">
        <f t="shared" si="11"/>
        <v>0</v>
      </c>
      <c r="I33" s="388">
        <f t="shared" si="11"/>
        <v>-4.9180327868852514E-2</v>
      </c>
      <c r="J33" s="388">
        <f t="shared" si="11"/>
        <v>6.8965517241379226E-2</v>
      </c>
      <c r="K33" s="388">
        <f t="shared" si="11"/>
        <v>1.6129032258064502E-2</v>
      </c>
      <c r="L33" s="388">
        <f t="shared" si="11"/>
        <v>-3.1746031746031744E-2</v>
      </c>
    </row>
    <row r="34" spans="1:25" x14ac:dyDescent="0.25">
      <c r="B34" s="63" t="str">
        <f t="shared" si="10"/>
        <v>Rural</v>
      </c>
      <c r="D34" s="388">
        <f t="shared" si="11"/>
        <v>0.18367346938775508</v>
      </c>
      <c r="E34" s="388">
        <f t="shared" si="11"/>
        <v>6.8965517241379226E-2</v>
      </c>
      <c r="F34" s="388">
        <f t="shared" si="11"/>
        <v>9.6774193548387011E-2</v>
      </c>
      <c r="G34" s="388">
        <f t="shared" si="11"/>
        <v>0</v>
      </c>
      <c r="H34" s="388">
        <f t="shared" si="11"/>
        <v>4.4117647058823595E-2</v>
      </c>
      <c r="I34" s="388">
        <f t="shared" si="11"/>
        <v>1.4084507042253502E-2</v>
      </c>
      <c r="J34" s="388">
        <f t="shared" si="11"/>
        <v>8.3333333333333259E-2</v>
      </c>
      <c r="K34" s="388">
        <f t="shared" si="11"/>
        <v>0.10256410256410264</v>
      </c>
      <c r="L34" s="388">
        <f t="shared" si="11"/>
        <v>5.8139534883721034E-2</v>
      </c>
    </row>
    <row r="35" spans="1:25" x14ac:dyDescent="0.25">
      <c r="B35" s="63" t="str">
        <f t="shared" si="10"/>
        <v>Corridor</v>
      </c>
      <c r="D35" s="388">
        <f t="shared" si="11"/>
        <v>0.11956521739130443</v>
      </c>
      <c r="E35" s="388">
        <f t="shared" si="11"/>
        <v>4.8543689320388328E-2</v>
      </c>
      <c r="F35" s="388">
        <f t="shared" si="11"/>
        <v>0</v>
      </c>
      <c r="G35" s="388">
        <f t="shared" si="11"/>
        <v>7.4074074074074181E-2</v>
      </c>
      <c r="H35" s="388">
        <f t="shared" si="11"/>
        <v>0.1293103448275863</v>
      </c>
      <c r="I35" s="388">
        <f t="shared" si="11"/>
        <v>-6.8702290076335881E-2</v>
      </c>
      <c r="J35" s="388">
        <f t="shared" si="11"/>
        <v>8.1967213114754189E-2</v>
      </c>
      <c r="K35" s="388">
        <f t="shared" si="11"/>
        <v>0.13636363636363646</v>
      </c>
      <c r="L35" s="388">
        <f t="shared" si="11"/>
        <v>-6.6666666666667096E-3</v>
      </c>
    </row>
    <row r="36" spans="1:25" x14ac:dyDescent="0.25">
      <c r="B36" s="63" t="str">
        <f t="shared" si="10"/>
        <v>Corridor</v>
      </c>
      <c r="D36" s="388">
        <f t="shared" si="11"/>
        <v>-0.26829268292682928</v>
      </c>
      <c r="E36" s="388">
        <f t="shared" si="11"/>
        <v>3.3333333333333437E-2</v>
      </c>
      <c r="F36" s="388">
        <f t="shared" si="11"/>
        <v>-9.6774193548387122E-2</v>
      </c>
      <c r="G36" s="388">
        <f t="shared" si="11"/>
        <v>0.125</v>
      </c>
      <c r="H36" s="388">
        <f t="shared" si="11"/>
        <v>-4.7619047619047672E-2</v>
      </c>
      <c r="I36" s="388">
        <f t="shared" si="11"/>
        <v>-0.33333333333333337</v>
      </c>
      <c r="J36" s="388">
        <f t="shared" si="11"/>
        <v>-9.9999999999999978E-2</v>
      </c>
      <c r="K36" s="388">
        <f t="shared" si="11"/>
        <v>0.22222222222222232</v>
      </c>
      <c r="L36" s="388">
        <f t="shared" si="11"/>
        <v>0</v>
      </c>
    </row>
    <row r="37" spans="1:25" x14ac:dyDescent="0.25">
      <c r="B37" s="63" t="str">
        <f t="shared" si="10"/>
        <v>Rural</v>
      </c>
      <c r="D37" s="388">
        <f t="shared" si="11"/>
        <v>0.14999999999999991</v>
      </c>
      <c r="E37" s="388">
        <f t="shared" si="11"/>
        <v>0</v>
      </c>
      <c r="F37" s="388">
        <f t="shared" si="11"/>
        <v>4.3478260869565188E-2</v>
      </c>
      <c r="G37" s="388">
        <f t="shared" si="11"/>
        <v>0.125</v>
      </c>
      <c r="H37" s="388">
        <f t="shared" si="11"/>
        <v>-0.5185185185185186</v>
      </c>
      <c r="I37" s="388">
        <f t="shared" si="11"/>
        <v>0.38461538461538458</v>
      </c>
      <c r="J37" s="388">
        <f t="shared" si="11"/>
        <v>0</v>
      </c>
      <c r="K37" s="388">
        <f t="shared" si="11"/>
        <v>5.555555555555558E-2</v>
      </c>
      <c r="L37" s="388">
        <f t="shared" si="11"/>
        <v>0.31578947368421062</v>
      </c>
    </row>
    <row r="38" spans="1:25" x14ac:dyDescent="0.25">
      <c r="B38" s="63" t="str">
        <f t="shared" si="10"/>
        <v>Metro</v>
      </c>
      <c r="D38" s="388">
        <f t="shared" si="11"/>
        <v>-0.9</v>
      </c>
      <c r="E38" s="388">
        <f t="shared" si="11"/>
        <v>0</v>
      </c>
      <c r="F38" s="388">
        <f t="shared" si="11"/>
        <v>9</v>
      </c>
      <c r="G38" s="388">
        <f t="shared" si="11"/>
        <v>0.25</v>
      </c>
      <c r="H38" s="388">
        <f t="shared" si="11"/>
        <v>-0.48</v>
      </c>
      <c r="I38" s="388">
        <f t="shared" si="11"/>
        <v>-0.84615384615384615</v>
      </c>
      <c r="J38" s="388">
        <f t="shared" si="11"/>
        <v>-0.5</v>
      </c>
      <c r="K38" s="388">
        <f t="shared" si="11"/>
        <v>0</v>
      </c>
      <c r="L38" s="388">
        <f t="shared" si="11"/>
        <v>0</v>
      </c>
    </row>
    <row r="39" spans="1:25" x14ac:dyDescent="0.25">
      <c r="B39" s="63" t="str">
        <f t="shared" si="10"/>
        <v>Export</v>
      </c>
      <c r="D39" s="388">
        <f t="shared" si="11"/>
        <v>0.19672131147540983</v>
      </c>
      <c r="E39" s="388">
        <f t="shared" si="11"/>
        <v>2.7397260273972712E-2</v>
      </c>
      <c r="F39" s="388">
        <f t="shared" si="11"/>
        <v>-0.10666666666666669</v>
      </c>
      <c r="G39" s="388">
        <f t="shared" si="11"/>
        <v>1.4925373134328401E-2</v>
      </c>
      <c r="H39" s="388">
        <f t="shared" si="11"/>
        <v>0</v>
      </c>
      <c r="I39" s="388">
        <f t="shared" si="11"/>
        <v>0.10294117647058831</v>
      </c>
      <c r="J39" s="388">
        <f t="shared" si="11"/>
        <v>1.3333333333333419E-2</v>
      </c>
      <c r="K39" s="388">
        <f t="shared" si="11"/>
        <v>9.210526315789469E-2</v>
      </c>
      <c r="L39" s="388">
        <f t="shared" si="11"/>
        <v>-1.2048192771084376E-2</v>
      </c>
    </row>
    <row r="40" spans="1:25" x14ac:dyDescent="0.25">
      <c r="B40" s="63" t="str">
        <f t="shared" si="10"/>
        <v>Total</v>
      </c>
      <c r="D40" s="388">
        <f t="shared" si="11"/>
        <v>8.5064935064935066E-2</v>
      </c>
      <c r="E40" s="388">
        <f t="shared" si="11"/>
        <v>5.3859964093357249E-2</v>
      </c>
      <c r="F40" s="388">
        <f t="shared" si="11"/>
        <v>1.3628620102214661E-2</v>
      </c>
      <c r="G40" s="388">
        <f t="shared" si="11"/>
        <v>4.7619047619047672E-2</v>
      </c>
      <c r="H40" s="388">
        <f t="shared" si="11"/>
        <v>3.4759358288769526E-3</v>
      </c>
      <c r="I40" s="388">
        <f t="shared" si="11"/>
        <v>-2.6911803890221186E-2</v>
      </c>
      <c r="J40" s="388">
        <f t="shared" si="11"/>
        <v>5.1752464403066911E-2</v>
      </c>
      <c r="K40" s="388">
        <f t="shared" si="11"/>
        <v>0.10153605831814638</v>
      </c>
      <c r="L40" s="388">
        <f t="shared" si="11"/>
        <v>1.6544552115339117E-2</v>
      </c>
    </row>
    <row r="41" spans="1:25" x14ac:dyDescent="0.25">
      <c r="D41" s="388"/>
      <c r="E41" s="388"/>
      <c r="F41" s="388"/>
      <c r="G41" s="388"/>
      <c r="H41" s="388"/>
      <c r="I41" s="388"/>
      <c r="J41" s="388"/>
      <c r="K41" s="388"/>
    </row>
    <row r="42" spans="1:25" x14ac:dyDescent="0.25">
      <c r="A42" s="63" t="s">
        <v>886</v>
      </c>
      <c r="B42" s="63" t="str">
        <f t="shared" ref="B42:B49" si="12">B16</f>
        <v>Metro</v>
      </c>
      <c r="C42" s="66">
        <f t="shared" ref="C42:L49" si="13">C16/C$23</f>
        <v>0.1396103896103896</v>
      </c>
      <c r="D42" s="66">
        <f t="shared" si="13"/>
        <v>0.14063435068821065</v>
      </c>
      <c r="E42" s="66">
        <f t="shared" si="13"/>
        <v>0.15048268029528677</v>
      </c>
      <c r="F42" s="66">
        <f t="shared" si="13"/>
        <v>0.16806722689075632</v>
      </c>
      <c r="G42" s="66">
        <f t="shared" si="13"/>
        <v>0.16310160427807488</v>
      </c>
      <c r="H42" s="66">
        <f t="shared" si="13"/>
        <v>0.16253663735678123</v>
      </c>
      <c r="I42" s="66">
        <f t="shared" si="13"/>
        <v>0.15881708652792992</v>
      </c>
      <c r="J42" s="66">
        <f t="shared" si="13"/>
        <v>0.16141629783910438</v>
      </c>
      <c r="K42" s="66">
        <f t="shared" si="13"/>
        <v>0.14890096903805247</v>
      </c>
      <c r="L42" s="66">
        <f t="shared" si="13"/>
        <v>0.14182748198093467</v>
      </c>
    </row>
    <row r="43" spans="1:25" x14ac:dyDescent="0.25">
      <c r="B43" s="63" t="str">
        <f t="shared" si="12"/>
        <v>Rural</v>
      </c>
      <c r="C43" s="66">
        <f t="shared" si="13"/>
        <v>0.15909090909090909</v>
      </c>
      <c r="D43" s="66">
        <f t="shared" si="13"/>
        <v>0.17354877318970677</v>
      </c>
      <c r="E43" s="66">
        <f t="shared" si="13"/>
        <v>0.17603634298693924</v>
      </c>
      <c r="F43" s="66">
        <f t="shared" si="13"/>
        <v>0.19047619047619047</v>
      </c>
      <c r="G43" s="66">
        <f t="shared" si="13"/>
        <v>0.18181818181818182</v>
      </c>
      <c r="H43" s="66">
        <f t="shared" si="13"/>
        <v>0.18918198774313882</v>
      </c>
      <c r="I43" s="66">
        <f t="shared" si="13"/>
        <v>0.19715224534501644</v>
      </c>
      <c r="J43" s="66">
        <f t="shared" si="13"/>
        <v>0.20307211663629263</v>
      </c>
      <c r="K43" s="66">
        <f t="shared" si="13"/>
        <v>0.20326164027416685</v>
      </c>
      <c r="L43" s="66">
        <f t="shared" si="13"/>
        <v>0.21157870262729597</v>
      </c>
    </row>
    <row r="44" spans="1:25" x14ac:dyDescent="0.25">
      <c r="B44" s="63" t="str">
        <f t="shared" si="12"/>
        <v>Corridor</v>
      </c>
      <c r="C44" s="66">
        <f t="shared" si="13"/>
        <v>0.29870129870129869</v>
      </c>
      <c r="D44" s="66">
        <f t="shared" si="13"/>
        <v>0.30819868342309997</v>
      </c>
      <c r="E44" s="66">
        <f t="shared" si="13"/>
        <v>0.30664395229982966</v>
      </c>
      <c r="F44" s="66">
        <f t="shared" si="13"/>
        <v>0.30252100840336132</v>
      </c>
      <c r="G44" s="66">
        <f t="shared" si="13"/>
        <v>0.31016042780748665</v>
      </c>
      <c r="H44" s="66">
        <f t="shared" si="13"/>
        <v>0.34905409006128429</v>
      </c>
      <c r="I44" s="66">
        <f t="shared" si="13"/>
        <v>0.33406352683461116</v>
      </c>
      <c r="J44" s="66">
        <f t="shared" si="13"/>
        <v>0.3436605050768029</v>
      </c>
      <c r="K44" s="66">
        <f t="shared" si="13"/>
        <v>0.35452611675726775</v>
      </c>
      <c r="L44" s="66">
        <f t="shared" si="13"/>
        <v>0.34643106254359451</v>
      </c>
    </row>
    <row r="45" spans="1:25" x14ac:dyDescent="0.25">
      <c r="B45" s="63" t="str">
        <f t="shared" si="12"/>
        <v>Corridor</v>
      </c>
      <c r="C45" s="66">
        <f t="shared" si="13"/>
        <v>0.13311688311688311</v>
      </c>
      <c r="D45" s="66">
        <f t="shared" si="13"/>
        <v>8.9766606822262118E-2</v>
      </c>
      <c r="E45" s="66">
        <f t="shared" si="13"/>
        <v>8.8018171493469619E-2</v>
      </c>
      <c r="F45" s="66">
        <f t="shared" si="13"/>
        <v>7.8431372549019607E-2</v>
      </c>
      <c r="G45" s="66">
        <f t="shared" si="13"/>
        <v>8.4224598930481287E-2</v>
      </c>
      <c r="H45" s="66">
        <f t="shared" si="13"/>
        <v>7.9936051159072735E-2</v>
      </c>
      <c r="I45" s="66">
        <f t="shared" si="13"/>
        <v>5.4764512595837901E-2</v>
      </c>
      <c r="J45" s="66">
        <f t="shared" si="13"/>
        <v>4.6862796146836756E-2</v>
      </c>
      <c r="K45" s="66">
        <f t="shared" si="13"/>
        <v>5.1997163791065941E-2</v>
      </c>
      <c r="L45" s="66">
        <f t="shared" si="13"/>
        <v>5.1150895140664961E-2</v>
      </c>
    </row>
    <row r="46" spans="1:25" x14ac:dyDescent="0.25">
      <c r="B46" s="63" t="str">
        <f t="shared" si="12"/>
        <v>Rural</v>
      </c>
      <c r="C46" s="66">
        <f t="shared" si="13"/>
        <v>6.4935064935064929E-2</v>
      </c>
      <c r="D46" s="66">
        <f t="shared" si="13"/>
        <v>6.8821065230400963E-2</v>
      </c>
      <c r="E46" s="66">
        <f t="shared" si="13"/>
        <v>6.5303804656445197E-2</v>
      </c>
      <c r="F46" s="66">
        <f t="shared" si="13"/>
        <v>6.7226890756302518E-2</v>
      </c>
      <c r="G46" s="66">
        <f t="shared" si="13"/>
        <v>7.2192513368983954E-2</v>
      </c>
      <c r="H46" s="66">
        <f t="shared" si="13"/>
        <v>3.4638955502264854E-2</v>
      </c>
      <c r="I46" s="66">
        <f t="shared" si="13"/>
        <v>4.9288061336254109E-2</v>
      </c>
      <c r="J46" s="66">
        <f t="shared" si="13"/>
        <v>4.6862796146836756E-2</v>
      </c>
      <c r="K46" s="66">
        <f t="shared" si="13"/>
        <v>4.4906641455920583E-2</v>
      </c>
      <c r="L46" s="66">
        <f t="shared" si="13"/>
        <v>5.8126017205301091E-2</v>
      </c>
    </row>
    <row r="47" spans="1:25" x14ac:dyDescent="0.25">
      <c r="B47" s="63" t="str">
        <f t="shared" si="12"/>
        <v>Metro</v>
      </c>
      <c r="C47" s="66">
        <f t="shared" si="13"/>
        <v>6.4935064935064939E-3</v>
      </c>
      <c r="D47" s="66">
        <f t="shared" si="13"/>
        <v>5.9844404548174755E-4</v>
      </c>
      <c r="E47" s="66">
        <f t="shared" si="13"/>
        <v>5.6785917092561046E-4</v>
      </c>
      <c r="F47" s="66">
        <f t="shared" si="13"/>
        <v>5.6022408963585435E-3</v>
      </c>
      <c r="G47" s="66">
        <f t="shared" si="13"/>
        <v>6.6844919786096255E-3</v>
      </c>
      <c r="H47" s="66">
        <f t="shared" si="13"/>
        <v>3.4638955502264853E-3</v>
      </c>
      <c r="I47" s="66">
        <f t="shared" si="13"/>
        <v>5.4764512595837907E-4</v>
      </c>
      <c r="J47" s="66">
        <f t="shared" si="13"/>
        <v>2.6034886748242648E-4</v>
      </c>
      <c r="K47" s="66">
        <f t="shared" si="13"/>
        <v>2.363507445048452E-4</v>
      </c>
      <c r="L47" s="66">
        <f t="shared" si="13"/>
        <v>2.3250406882120437E-4</v>
      </c>
    </row>
    <row r="48" spans="1:25" x14ac:dyDescent="0.25">
      <c r="B48" s="63" t="str">
        <f t="shared" si="12"/>
        <v>Export</v>
      </c>
      <c r="C48" s="66">
        <f t="shared" si="13"/>
        <v>0.19805194805194806</v>
      </c>
      <c r="D48" s="66">
        <f t="shared" si="13"/>
        <v>0.21843207660083783</v>
      </c>
      <c r="E48" s="66">
        <f t="shared" si="13"/>
        <v>0.21294718909710392</v>
      </c>
      <c r="F48" s="66">
        <f t="shared" si="13"/>
        <v>0.1876750700280112</v>
      </c>
      <c r="G48" s="66">
        <f t="shared" si="13"/>
        <v>0.18181818181818182</v>
      </c>
      <c r="H48" s="66">
        <f t="shared" si="13"/>
        <v>0.18118838262723155</v>
      </c>
      <c r="I48" s="66">
        <f t="shared" si="13"/>
        <v>0.20536692223439212</v>
      </c>
      <c r="J48" s="66">
        <f t="shared" si="13"/>
        <v>0.19786513928664409</v>
      </c>
      <c r="K48" s="66">
        <f t="shared" si="13"/>
        <v>0.19617111793902151</v>
      </c>
      <c r="L48" s="66">
        <f t="shared" si="13"/>
        <v>0.19065333643338758</v>
      </c>
      <c r="Y48" s="63" t="s">
        <v>887</v>
      </c>
    </row>
    <row r="49" spans="2:12" x14ac:dyDescent="0.25">
      <c r="B49" s="63" t="str">
        <f t="shared" si="12"/>
        <v>Total</v>
      </c>
      <c r="C49" s="388">
        <f t="shared" si="13"/>
        <v>1</v>
      </c>
      <c r="D49" s="388">
        <f t="shared" si="13"/>
        <v>1</v>
      </c>
      <c r="E49" s="388">
        <f t="shared" si="13"/>
        <v>1</v>
      </c>
      <c r="F49" s="388">
        <f t="shared" si="13"/>
        <v>1</v>
      </c>
      <c r="G49" s="388">
        <f t="shared" si="13"/>
        <v>1</v>
      </c>
      <c r="H49" s="388">
        <f t="shared" si="13"/>
        <v>1</v>
      </c>
      <c r="I49" s="388">
        <f t="shared" si="13"/>
        <v>1</v>
      </c>
      <c r="J49" s="388">
        <f t="shared" si="13"/>
        <v>1</v>
      </c>
      <c r="K49" s="388">
        <f t="shared" si="13"/>
        <v>1</v>
      </c>
      <c r="L49" s="388">
        <f t="shared" si="13"/>
        <v>1</v>
      </c>
    </row>
    <row r="50" spans="2:12" x14ac:dyDescent="0.25">
      <c r="C50" s="388"/>
      <c r="D50" s="388"/>
      <c r="E50" s="388"/>
      <c r="F50" s="388"/>
      <c r="G50" s="388"/>
      <c r="H50" s="388"/>
      <c r="I50" s="388"/>
      <c r="J50" s="388"/>
      <c r="K50" s="388"/>
    </row>
    <row r="51" spans="2:12" x14ac:dyDescent="0.25">
      <c r="C51" s="63">
        <f t="shared" ref="C51:L51" si="14">C15</f>
        <v>2003</v>
      </c>
      <c r="D51" s="63">
        <f t="shared" si="14"/>
        <v>2004</v>
      </c>
      <c r="E51" s="63">
        <f t="shared" si="14"/>
        <v>2005</v>
      </c>
      <c r="F51" s="63">
        <f t="shared" si="14"/>
        <v>2006</v>
      </c>
      <c r="G51" s="63">
        <f t="shared" si="14"/>
        <v>2007</v>
      </c>
      <c r="H51" s="63">
        <f t="shared" si="14"/>
        <v>2008</v>
      </c>
      <c r="I51" s="63">
        <f t="shared" si="14"/>
        <v>2009</v>
      </c>
      <c r="J51" s="63">
        <f t="shared" si="14"/>
        <v>2010</v>
      </c>
      <c r="K51" s="63">
        <f t="shared" si="14"/>
        <v>2011</v>
      </c>
      <c r="L51" s="63">
        <f t="shared" si="14"/>
        <v>2012</v>
      </c>
    </row>
    <row r="52" spans="2:12" x14ac:dyDescent="0.25">
      <c r="B52" s="63" t="s">
        <v>888</v>
      </c>
      <c r="C52" s="66">
        <f t="shared" ref="C52:L52" si="15">C42+C47</f>
        <v>0.1461038961038961</v>
      </c>
      <c r="D52" s="66">
        <f t="shared" si="15"/>
        <v>0.14123279473369241</v>
      </c>
      <c r="E52" s="66">
        <f t="shared" si="15"/>
        <v>0.15105053946621239</v>
      </c>
      <c r="F52" s="66">
        <f t="shared" si="15"/>
        <v>0.17366946778711487</v>
      </c>
      <c r="G52" s="66">
        <f t="shared" si="15"/>
        <v>0.1697860962566845</v>
      </c>
      <c r="H52" s="66">
        <f t="shared" si="15"/>
        <v>0.16600053290700773</v>
      </c>
      <c r="I52" s="66">
        <f t="shared" si="15"/>
        <v>0.15936473165388829</v>
      </c>
      <c r="J52" s="66">
        <f t="shared" si="15"/>
        <v>0.1616766467065868</v>
      </c>
      <c r="K52" s="66">
        <f t="shared" si="15"/>
        <v>0.14913731978255731</v>
      </c>
      <c r="L52" s="66">
        <f t="shared" si="15"/>
        <v>0.14205998604975587</v>
      </c>
    </row>
    <row r="53" spans="2:12" x14ac:dyDescent="0.25">
      <c r="B53" s="63" t="s">
        <v>889</v>
      </c>
      <c r="C53" s="66">
        <f t="shared" ref="C53:L53" si="16">C43+C46</f>
        <v>0.22402597402597402</v>
      </c>
      <c r="D53" s="66">
        <f t="shared" si="16"/>
        <v>0.24236983842010773</v>
      </c>
      <c r="E53" s="66">
        <f t="shared" si="16"/>
        <v>0.24134014764338443</v>
      </c>
      <c r="F53" s="66">
        <f t="shared" si="16"/>
        <v>0.25770308123249297</v>
      </c>
      <c r="G53" s="66">
        <f t="shared" si="16"/>
        <v>0.25401069518716579</v>
      </c>
      <c r="H53" s="66">
        <f t="shared" si="16"/>
        <v>0.22382094324540369</v>
      </c>
      <c r="I53" s="66">
        <f t="shared" si="16"/>
        <v>0.24644030668127054</v>
      </c>
      <c r="J53" s="66">
        <f t="shared" si="16"/>
        <v>0.24993491278312938</v>
      </c>
      <c r="K53" s="66">
        <f t="shared" si="16"/>
        <v>0.24816828173008743</v>
      </c>
      <c r="L53" s="66">
        <f t="shared" si="16"/>
        <v>0.26970471983259708</v>
      </c>
    </row>
    <row r="54" spans="2:12" x14ac:dyDescent="0.25">
      <c r="B54" s="63" t="s">
        <v>890</v>
      </c>
      <c r="C54" s="66">
        <f t="shared" ref="C54:L54" si="17">C44+C45</f>
        <v>0.43181818181818177</v>
      </c>
      <c r="D54" s="66">
        <f t="shared" si="17"/>
        <v>0.39796529024536209</v>
      </c>
      <c r="E54" s="66">
        <f t="shared" si="17"/>
        <v>0.39466212379329929</v>
      </c>
      <c r="F54" s="66">
        <f t="shared" si="17"/>
        <v>0.38095238095238093</v>
      </c>
      <c r="G54" s="66">
        <f t="shared" si="17"/>
        <v>0.39438502673796794</v>
      </c>
      <c r="H54" s="66">
        <f t="shared" si="17"/>
        <v>0.42899014122035706</v>
      </c>
      <c r="I54" s="66">
        <f t="shared" si="17"/>
        <v>0.38882803943044908</v>
      </c>
      <c r="J54" s="66">
        <f t="shared" si="17"/>
        <v>0.39052330122363965</v>
      </c>
      <c r="K54" s="66">
        <f t="shared" si="17"/>
        <v>0.4065232805483337</v>
      </c>
      <c r="L54" s="66">
        <f t="shared" si="17"/>
        <v>0.39758195768425947</v>
      </c>
    </row>
    <row r="55" spans="2:12" x14ac:dyDescent="0.25">
      <c r="B55" s="63" t="s">
        <v>891</v>
      </c>
      <c r="C55" s="66">
        <f t="shared" ref="C55:L55" si="18">C48</f>
        <v>0.19805194805194806</v>
      </c>
      <c r="D55" s="66">
        <f t="shared" si="18"/>
        <v>0.21843207660083783</v>
      </c>
      <c r="E55" s="66">
        <f t="shared" si="18"/>
        <v>0.21294718909710392</v>
      </c>
      <c r="F55" s="66">
        <f t="shared" si="18"/>
        <v>0.1876750700280112</v>
      </c>
      <c r="G55" s="66">
        <f t="shared" si="18"/>
        <v>0.18181818181818182</v>
      </c>
      <c r="H55" s="66">
        <f t="shared" si="18"/>
        <v>0.18118838262723155</v>
      </c>
      <c r="I55" s="66">
        <f t="shared" si="18"/>
        <v>0.20536692223439212</v>
      </c>
      <c r="J55" s="66">
        <f t="shared" si="18"/>
        <v>0.19786513928664409</v>
      </c>
      <c r="K55" s="66">
        <f t="shared" si="18"/>
        <v>0.19617111793902151</v>
      </c>
      <c r="L55" s="66">
        <f t="shared" si="18"/>
        <v>0.19065333643338758</v>
      </c>
    </row>
    <row r="56" spans="2:12" x14ac:dyDescent="0.25">
      <c r="C56" s="388"/>
      <c r="D56" s="388"/>
      <c r="E56" s="388"/>
      <c r="F56" s="388"/>
      <c r="G56" s="388"/>
      <c r="H56" s="388"/>
      <c r="I56" s="388"/>
      <c r="J56" s="388"/>
      <c r="K56" s="388"/>
    </row>
    <row r="58" spans="2:12" x14ac:dyDescent="0.25">
      <c r="B58" s="63" t="s">
        <v>875</v>
      </c>
      <c r="C58" s="388">
        <f t="shared" ref="C58:L58" si="19">C61/C23</f>
        <v>0.59740259740259738</v>
      </c>
      <c r="D58" s="388">
        <f t="shared" si="19"/>
        <v>0.62238180730101733</v>
      </c>
      <c r="E58" s="388">
        <f t="shared" si="19"/>
        <v>0.6331629755820557</v>
      </c>
      <c r="F58" s="388">
        <f t="shared" si="19"/>
        <v>0.66106442577030811</v>
      </c>
      <c r="G58" s="388">
        <f t="shared" si="19"/>
        <v>0.65508021390374327</v>
      </c>
      <c r="H58" s="388">
        <f t="shared" si="19"/>
        <v>0.70077271516120432</v>
      </c>
      <c r="I58" s="388">
        <f t="shared" si="19"/>
        <v>0.69003285870755748</v>
      </c>
      <c r="J58" s="388">
        <f t="shared" si="19"/>
        <v>0.70814891955219994</v>
      </c>
      <c r="K58" s="388">
        <f t="shared" si="19"/>
        <v>0.70668872606948707</v>
      </c>
      <c r="L58" s="388">
        <f t="shared" si="19"/>
        <v>0.69983724715182516</v>
      </c>
    </row>
    <row r="59" spans="2:12" x14ac:dyDescent="0.25">
      <c r="B59" s="63" t="s">
        <v>876</v>
      </c>
      <c r="C59" s="388">
        <f t="shared" ref="C59:L59" si="20">C66/C23</f>
        <v>0.40259740259740262</v>
      </c>
      <c r="D59" s="388">
        <f t="shared" si="20"/>
        <v>0.37761819269898267</v>
      </c>
      <c r="E59" s="388">
        <f t="shared" si="20"/>
        <v>0.3668370244179443</v>
      </c>
      <c r="F59" s="388">
        <f t="shared" si="20"/>
        <v>0.33893557422969189</v>
      </c>
      <c r="G59" s="388">
        <f t="shared" si="20"/>
        <v>0.34491978609625668</v>
      </c>
      <c r="H59" s="388">
        <f t="shared" si="20"/>
        <v>0.29922728483879563</v>
      </c>
      <c r="I59" s="388">
        <f t="shared" si="20"/>
        <v>0.30996714129244252</v>
      </c>
      <c r="J59" s="388">
        <f t="shared" si="20"/>
        <v>0.2918510804478</v>
      </c>
      <c r="K59" s="388">
        <f t="shared" si="20"/>
        <v>0.29331127393051287</v>
      </c>
      <c r="L59" s="388">
        <f t="shared" si="20"/>
        <v>0.30016275284817484</v>
      </c>
    </row>
    <row r="61" spans="2:12" x14ac:dyDescent="0.25">
      <c r="B61" s="63" t="s">
        <v>875</v>
      </c>
      <c r="C61" s="63">
        <f t="shared" ref="C61:L61" si="21">SUM(C16:C18)</f>
        <v>184</v>
      </c>
      <c r="D61" s="63">
        <f t="shared" si="21"/>
        <v>208</v>
      </c>
      <c r="E61" s="63">
        <f t="shared" si="21"/>
        <v>223</v>
      </c>
      <c r="F61" s="63">
        <f t="shared" si="21"/>
        <v>236</v>
      </c>
      <c r="G61" s="63">
        <f t="shared" si="21"/>
        <v>245</v>
      </c>
      <c r="H61" s="63">
        <f t="shared" si="21"/>
        <v>263</v>
      </c>
      <c r="I61" s="63">
        <f t="shared" si="21"/>
        <v>252</v>
      </c>
      <c r="J61" s="63">
        <f t="shared" si="21"/>
        <v>272</v>
      </c>
      <c r="K61" s="63">
        <f t="shared" si="21"/>
        <v>299</v>
      </c>
      <c r="L61" s="63">
        <f t="shared" si="21"/>
        <v>301</v>
      </c>
    </row>
    <row r="62" spans="2:12" x14ac:dyDescent="0.25">
      <c r="B62" s="63" t="s">
        <v>727</v>
      </c>
      <c r="C62" s="388">
        <f t="shared" ref="C62:L64" si="22">C16/C$61</f>
        <v>0.23369565217391305</v>
      </c>
      <c r="D62" s="388">
        <f t="shared" si="22"/>
        <v>0.22596153846153846</v>
      </c>
      <c r="E62" s="388">
        <f t="shared" si="22"/>
        <v>0.23766816143497757</v>
      </c>
      <c r="F62" s="388">
        <f t="shared" si="22"/>
        <v>0.25423728813559321</v>
      </c>
      <c r="G62" s="388">
        <f t="shared" si="22"/>
        <v>0.24897959183673468</v>
      </c>
      <c r="H62" s="388">
        <f t="shared" si="22"/>
        <v>0.23193916349809887</v>
      </c>
      <c r="I62" s="388">
        <f t="shared" si="22"/>
        <v>0.23015873015873015</v>
      </c>
      <c r="J62" s="388">
        <f t="shared" si="22"/>
        <v>0.22794117647058823</v>
      </c>
      <c r="K62" s="388">
        <f t="shared" si="22"/>
        <v>0.21070234113712374</v>
      </c>
      <c r="L62" s="388">
        <f t="shared" si="22"/>
        <v>0.20265780730897009</v>
      </c>
    </row>
    <row r="63" spans="2:12" x14ac:dyDescent="0.25">
      <c r="B63" s="63" t="s">
        <v>728</v>
      </c>
      <c r="C63" s="388">
        <f t="shared" si="22"/>
        <v>0.26630434782608697</v>
      </c>
      <c r="D63" s="388">
        <f t="shared" si="22"/>
        <v>0.27884615384615385</v>
      </c>
      <c r="E63" s="388">
        <f t="shared" si="22"/>
        <v>0.27802690582959644</v>
      </c>
      <c r="F63" s="388">
        <f t="shared" si="22"/>
        <v>0.28813559322033899</v>
      </c>
      <c r="G63" s="388">
        <f t="shared" si="22"/>
        <v>0.27755102040816326</v>
      </c>
      <c r="H63" s="388">
        <f t="shared" si="22"/>
        <v>0.26996197718631176</v>
      </c>
      <c r="I63" s="388">
        <f t="shared" si="22"/>
        <v>0.2857142857142857</v>
      </c>
      <c r="J63" s="388">
        <f t="shared" si="22"/>
        <v>0.28676470588235292</v>
      </c>
      <c r="K63" s="388">
        <f t="shared" si="22"/>
        <v>0.28762541806020064</v>
      </c>
      <c r="L63" s="388">
        <f t="shared" si="22"/>
        <v>0.30232558139534882</v>
      </c>
    </row>
    <row r="64" spans="2:12" x14ac:dyDescent="0.25">
      <c r="B64" s="63" t="s">
        <v>627</v>
      </c>
      <c r="C64" s="388">
        <f t="shared" si="22"/>
        <v>0.5</v>
      </c>
      <c r="D64" s="388">
        <f t="shared" si="22"/>
        <v>0.49519230769230771</v>
      </c>
      <c r="E64" s="388">
        <f t="shared" si="22"/>
        <v>0.48430493273542602</v>
      </c>
      <c r="F64" s="388">
        <f t="shared" si="22"/>
        <v>0.4576271186440678</v>
      </c>
      <c r="G64" s="388">
        <f t="shared" si="22"/>
        <v>0.47346938775510206</v>
      </c>
      <c r="H64" s="388">
        <f t="shared" si="22"/>
        <v>0.49809885931558934</v>
      </c>
      <c r="I64" s="388">
        <f t="shared" si="22"/>
        <v>0.48412698412698413</v>
      </c>
      <c r="J64" s="388">
        <f t="shared" si="22"/>
        <v>0.48529411764705882</v>
      </c>
      <c r="K64" s="388">
        <f t="shared" si="22"/>
        <v>0.50167224080267558</v>
      </c>
      <c r="L64" s="388">
        <f t="shared" si="22"/>
        <v>0.49501661129568109</v>
      </c>
    </row>
    <row r="66" spans="2:12" x14ac:dyDescent="0.25">
      <c r="B66" s="63" t="s">
        <v>876</v>
      </c>
      <c r="C66" s="63">
        <f t="shared" ref="C66:L66" si="23">SUM(C19:C22)</f>
        <v>124</v>
      </c>
      <c r="D66" s="63">
        <f t="shared" si="23"/>
        <v>126.2</v>
      </c>
      <c r="E66" s="63">
        <f t="shared" si="23"/>
        <v>129.19999999999999</v>
      </c>
      <c r="F66" s="63">
        <f t="shared" si="23"/>
        <v>121</v>
      </c>
      <c r="G66" s="63">
        <f t="shared" si="23"/>
        <v>129</v>
      </c>
      <c r="H66" s="63">
        <f t="shared" si="23"/>
        <v>112.3</v>
      </c>
      <c r="I66" s="63">
        <f t="shared" si="23"/>
        <v>113.2</v>
      </c>
      <c r="J66" s="63">
        <f t="shared" si="23"/>
        <v>112.1</v>
      </c>
      <c r="K66" s="63">
        <f t="shared" si="23"/>
        <v>124.1</v>
      </c>
      <c r="L66" s="63">
        <f t="shared" si="23"/>
        <v>129.1</v>
      </c>
    </row>
    <row r="67" spans="2:12" x14ac:dyDescent="0.25">
      <c r="B67" s="63" t="str">
        <f>B36</f>
        <v>Corridor</v>
      </c>
      <c r="C67" s="388">
        <f t="shared" ref="C67:L70" si="24">C19/C$66</f>
        <v>0.33064516129032256</v>
      </c>
      <c r="D67" s="388">
        <f t="shared" si="24"/>
        <v>0.23771790808240886</v>
      </c>
      <c r="E67" s="388">
        <f t="shared" si="24"/>
        <v>0.23993808049535606</v>
      </c>
      <c r="F67" s="388">
        <f t="shared" si="24"/>
        <v>0.23140495867768596</v>
      </c>
      <c r="G67" s="388">
        <f t="shared" si="24"/>
        <v>0.2441860465116279</v>
      </c>
      <c r="H67" s="388">
        <f t="shared" si="24"/>
        <v>0.26714158504007124</v>
      </c>
      <c r="I67" s="388">
        <f t="shared" si="24"/>
        <v>0.17667844522968199</v>
      </c>
      <c r="J67" s="388">
        <f t="shared" si="24"/>
        <v>0.16057091882247992</v>
      </c>
      <c r="K67" s="388">
        <f t="shared" si="24"/>
        <v>0.17727639000805803</v>
      </c>
      <c r="L67" s="388">
        <f t="shared" si="24"/>
        <v>0.17041053446940357</v>
      </c>
    </row>
    <row r="68" spans="2:12" x14ac:dyDescent="0.25">
      <c r="B68" s="63" t="str">
        <f>B37</f>
        <v>Rural</v>
      </c>
      <c r="C68" s="388">
        <f t="shared" si="24"/>
        <v>0.16129032258064516</v>
      </c>
      <c r="D68" s="388">
        <f t="shared" si="24"/>
        <v>0.18225039619651345</v>
      </c>
      <c r="E68" s="388">
        <f t="shared" si="24"/>
        <v>0.17801857585139322</v>
      </c>
      <c r="F68" s="388">
        <f t="shared" si="24"/>
        <v>0.19834710743801653</v>
      </c>
      <c r="G68" s="388">
        <f t="shared" si="24"/>
        <v>0.20930232558139536</v>
      </c>
      <c r="H68" s="388">
        <f t="shared" si="24"/>
        <v>0.1157613535173642</v>
      </c>
      <c r="I68" s="388">
        <f t="shared" si="24"/>
        <v>0.15901060070671377</v>
      </c>
      <c r="J68" s="388">
        <f t="shared" si="24"/>
        <v>0.16057091882247992</v>
      </c>
      <c r="K68" s="388">
        <f t="shared" si="24"/>
        <v>0.15310233682514102</v>
      </c>
      <c r="L68" s="388">
        <f t="shared" si="24"/>
        <v>0.19364833462432224</v>
      </c>
    </row>
    <row r="69" spans="2:12" x14ac:dyDescent="0.25">
      <c r="B69" s="63" t="str">
        <f>B38</f>
        <v>Metro</v>
      </c>
      <c r="C69" s="388">
        <f t="shared" si="24"/>
        <v>1.6129032258064516E-2</v>
      </c>
      <c r="D69" s="388">
        <f t="shared" si="24"/>
        <v>1.5847860538827259E-3</v>
      </c>
      <c r="E69" s="388">
        <f t="shared" si="24"/>
        <v>1.5479876160990715E-3</v>
      </c>
      <c r="F69" s="388">
        <f t="shared" si="24"/>
        <v>1.6528925619834711E-2</v>
      </c>
      <c r="G69" s="388">
        <f t="shared" si="24"/>
        <v>1.937984496124031E-2</v>
      </c>
      <c r="H69" s="388">
        <f t="shared" si="24"/>
        <v>1.1576135351736421E-2</v>
      </c>
      <c r="I69" s="388">
        <f t="shared" si="24"/>
        <v>1.7667844522968198E-3</v>
      </c>
      <c r="J69" s="388">
        <f t="shared" si="24"/>
        <v>8.9206066012488864E-4</v>
      </c>
      <c r="K69" s="388">
        <f t="shared" si="24"/>
        <v>8.0580177276390016E-4</v>
      </c>
      <c r="L69" s="388">
        <f t="shared" si="24"/>
        <v>7.7459333849728897E-4</v>
      </c>
    </row>
    <row r="70" spans="2:12" x14ac:dyDescent="0.25">
      <c r="B70" s="63" t="str">
        <f>B39</f>
        <v>Export</v>
      </c>
      <c r="C70" s="388">
        <f t="shared" si="24"/>
        <v>0.49193548387096775</v>
      </c>
      <c r="D70" s="388">
        <f t="shared" si="24"/>
        <v>0.57844690966719492</v>
      </c>
      <c r="E70" s="388">
        <f t="shared" si="24"/>
        <v>0.58049535603715174</v>
      </c>
      <c r="F70" s="388">
        <f t="shared" si="24"/>
        <v>0.55371900826446285</v>
      </c>
      <c r="G70" s="388">
        <f t="shared" si="24"/>
        <v>0.52713178294573648</v>
      </c>
      <c r="H70" s="388">
        <f t="shared" si="24"/>
        <v>0.60552092609082819</v>
      </c>
      <c r="I70" s="388">
        <f t="shared" si="24"/>
        <v>0.66254416961130735</v>
      </c>
      <c r="J70" s="388">
        <f t="shared" si="24"/>
        <v>0.67796610169491534</v>
      </c>
      <c r="K70" s="388">
        <f t="shared" si="24"/>
        <v>0.66881547139403708</v>
      </c>
      <c r="L70" s="388">
        <f t="shared" si="24"/>
        <v>0.63516653756777697</v>
      </c>
    </row>
    <row r="72" spans="2:12" x14ac:dyDescent="0.25">
      <c r="B72" s="63" t="s">
        <v>727</v>
      </c>
      <c r="C72" s="388">
        <f t="shared" ref="C72:L72" si="25">C16+C21</f>
        <v>45</v>
      </c>
      <c r="D72" s="388">
        <f t="shared" si="25"/>
        <v>47.2</v>
      </c>
      <c r="E72" s="388">
        <f t="shared" si="25"/>
        <v>53.2</v>
      </c>
      <c r="F72" s="388">
        <f t="shared" si="25"/>
        <v>62</v>
      </c>
      <c r="G72" s="388">
        <f t="shared" si="25"/>
        <v>63.5</v>
      </c>
      <c r="H72" s="388">
        <f t="shared" si="25"/>
        <v>62.3</v>
      </c>
      <c r="I72" s="388">
        <f t="shared" si="25"/>
        <v>58.2</v>
      </c>
      <c r="J72" s="388">
        <f t="shared" si="25"/>
        <v>62.1</v>
      </c>
      <c r="K72" s="388">
        <f t="shared" si="25"/>
        <v>63.1</v>
      </c>
      <c r="L72" s="388">
        <f t="shared" si="25"/>
        <v>61.1</v>
      </c>
    </row>
    <row r="73" spans="2:12" x14ac:dyDescent="0.25">
      <c r="B73" s="63" t="s">
        <v>875</v>
      </c>
      <c r="C73" s="388">
        <f t="shared" ref="C73:L73" si="26">C16/C72</f>
        <v>0.9555555555555556</v>
      </c>
      <c r="D73" s="388">
        <f t="shared" si="26"/>
        <v>0.99576271186440668</v>
      </c>
      <c r="E73" s="388">
        <f t="shared" si="26"/>
        <v>0.99624060150375937</v>
      </c>
      <c r="F73" s="388">
        <f t="shared" si="26"/>
        <v>0.967741935483871</v>
      </c>
      <c r="G73" s="388">
        <f t="shared" si="26"/>
        <v>0.96062992125984248</v>
      </c>
      <c r="H73" s="388">
        <f t="shared" si="26"/>
        <v>0.9791332263242376</v>
      </c>
      <c r="I73" s="388">
        <f t="shared" si="26"/>
        <v>0.99656357388316141</v>
      </c>
      <c r="J73" s="388">
        <f t="shared" si="26"/>
        <v>0.99838969404186795</v>
      </c>
      <c r="K73" s="388">
        <f t="shared" si="26"/>
        <v>0.99841521394611721</v>
      </c>
      <c r="L73" s="388">
        <f t="shared" si="26"/>
        <v>0.99836333878887074</v>
      </c>
    </row>
    <row r="74" spans="2:12" x14ac:dyDescent="0.25">
      <c r="B74" s="63" t="s">
        <v>876</v>
      </c>
      <c r="C74" s="388">
        <f t="shared" ref="C74:L74" si="27">C21/C72</f>
        <v>4.4444444444444446E-2</v>
      </c>
      <c r="D74" s="388">
        <f t="shared" si="27"/>
        <v>4.2372881355932203E-3</v>
      </c>
      <c r="E74" s="388">
        <f t="shared" si="27"/>
        <v>3.7593984962406013E-3</v>
      </c>
      <c r="F74" s="388">
        <f t="shared" si="27"/>
        <v>3.2258064516129031E-2</v>
      </c>
      <c r="G74" s="388">
        <f t="shared" si="27"/>
        <v>3.937007874015748E-2</v>
      </c>
      <c r="H74" s="388">
        <f t="shared" si="27"/>
        <v>2.0866773675762441E-2</v>
      </c>
      <c r="I74" s="388">
        <f t="shared" si="27"/>
        <v>3.4364261168384879E-3</v>
      </c>
      <c r="J74" s="388">
        <f t="shared" si="27"/>
        <v>1.6103059581320451E-3</v>
      </c>
      <c r="K74" s="388">
        <f t="shared" si="27"/>
        <v>1.5847860538827259E-3</v>
      </c>
      <c r="L74" s="388">
        <f t="shared" si="27"/>
        <v>1.6366612111292963E-3</v>
      </c>
    </row>
    <row r="76" spans="2:12" x14ac:dyDescent="0.25">
      <c r="B76" s="63" t="s">
        <v>728</v>
      </c>
      <c r="C76" s="63">
        <f t="shared" ref="C76:L76" si="28">C17+C20</f>
        <v>69</v>
      </c>
      <c r="D76" s="63">
        <f t="shared" si="28"/>
        <v>81</v>
      </c>
      <c r="E76" s="63">
        <f t="shared" si="28"/>
        <v>85</v>
      </c>
      <c r="F76" s="63">
        <f t="shared" si="28"/>
        <v>92</v>
      </c>
      <c r="G76" s="63">
        <f t="shared" si="28"/>
        <v>95</v>
      </c>
      <c r="H76" s="63">
        <f t="shared" si="28"/>
        <v>84</v>
      </c>
      <c r="I76" s="63">
        <f t="shared" si="28"/>
        <v>90</v>
      </c>
      <c r="J76" s="63">
        <f t="shared" si="28"/>
        <v>96</v>
      </c>
      <c r="K76" s="63">
        <f t="shared" si="28"/>
        <v>105</v>
      </c>
      <c r="L76" s="63">
        <f t="shared" si="28"/>
        <v>116</v>
      </c>
    </row>
    <row r="77" spans="2:12" x14ac:dyDescent="0.25">
      <c r="B77" s="63" t="s">
        <v>875</v>
      </c>
      <c r="C77" s="388">
        <f t="shared" ref="C77:L77" si="29">C17/C76</f>
        <v>0.71014492753623193</v>
      </c>
      <c r="D77" s="388">
        <f t="shared" si="29"/>
        <v>0.71604938271604934</v>
      </c>
      <c r="E77" s="388">
        <f t="shared" si="29"/>
        <v>0.72941176470588232</v>
      </c>
      <c r="F77" s="388">
        <f t="shared" si="29"/>
        <v>0.73913043478260865</v>
      </c>
      <c r="G77" s="388">
        <f t="shared" si="29"/>
        <v>0.71578947368421053</v>
      </c>
      <c r="H77" s="388">
        <f t="shared" si="29"/>
        <v>0.84523809523809523</v>
      </c>
      <c r="I77" s="388">
        <f t="shared" si="29"/>
        <v>0.8</v>
      </c>
      <c r="J77" s="388">
        <f t="shared" si="29"/>
        <v>0.8125</v>
      </c>
      <c r="K77" s="388">
        <f t="shared" si="29"/>
        <v>0.81904761904761902</v>
      </c>
      <c r="L77" s="388">
        <f t="shared" si="29"/>
        <v>0.78448275862068961</v>
      </c>
    </row>
    <row r="78" spans="2:12" x14ac:dyDescent="0.25">
      <c r="B78" s="63" t="s">
        <v>876</v>
      </c>
      <c r="C78" s="388">
        <f t="shared" ref="C78:L78" si="30">C20/C76</f>
        <v>0.28985507246376813</v>
      </c>
      <c r="D78" s="388">
        <f t="shared" si="30"/>
        <v>0.2839506172839506</v>
      </c>
      <c r="E78" s="388">
        <f t="shared" si="30"/>
        <v>0.27058823529411763</v>
      </c>
      <c r="F78" s="388">
        <f t="shared" si="30"/>
        <v>0.2608695652173913</v>
      </c>
      <c r="G78" s="388">
        <f t="shared" si="30"/>
        <v>0.28421052631578947</v>
      </c>
      <c r="H78" s="388">
        <f t="shared" si="30"/>
        <v>0.15476190476190477</v>
      </c>
      <c r="I78" s="388">
        <f t="shared" si="30"/>
        <v>0.2</v>
      </c>
      <c r="J78" s="388">
        <f t="shared" si="30"/>
        <v>0.1875</v>
      </c>
      <c r="K78" s="388">
        <f t="shared" si="30"/>
        <v>0.18095238095238095</v>
      </c>
      <c r="L78" s="388">
        <f t="shared" si="30"/>
        <v>0.21551724137931033</v>
      </c>
    </row>
    <row r="80" spans="2:12" x14ac:dyDescent="0.25">
      <c r="B80" s="63" t="s">
        <v>627</v>
      </c>
      <c r="C80" s="63">
        <f t="shared" ref="C80:L80" si="31">C18+C19</f>
        <v>133</v>
      </c>
      <c r="D80" s="63">
        <f t="shared" si="31"/>
        <v>133</v>
      </c>
      <c r="E80" s="63">
        <f t="shared" si="31"/>
        <v>139</v>
      </c>
      <c r="F80" s="63">
        <f t="shared" si="31"/>
        <v>136</v>
      </c>
      <c r="G80" s="63">
        <f t="shared" si="31"/>
        <v>147.5</v>
      </c>
      <c r="H80" s="63">
        <f t="shared" si="31"/>
        <v>161</v>
      </c>
      <c r="I80" s="63">
        <f t="shared" si="31"/>
        <v>142</v>
      </c>
      <c r="J80" s="63">
        <f t="shared" si="31"/>
        <v>150</v>
      </c>
      <c r="K80" s="63">
        <f t="shared" si="31"/>
        <v>172</v>
      </c>
      <c r="L80" s="63">
        <f t="shared" si="31"/>
        <v>171</v>
      </c>
    </row>
    <row r="81" spans="2:12" x14ac:dyDescent="0.25">
      <c r="B81" s="63" t="s">
        <v>875</v>
      </c>
      <c r="C81" s="388">
        <f t="shared" ref="C81:L81" si="32">C18/C80</f>
        <v>0.69172932330827064</v>
      </c>
      <c r="D81" s="388">
        <f t="shared" si="32"/>
        <v>0.77443609022556392</v>
      </c>
      <c r="E81" s="388">
        <f t="shared" si="32"/>
        <v>0.7769784172661871</v>
      </c>
      <c r="F81" s="388">
        <f t="shared" si="32"/>
        <v>0.79411764705882348</v>
      </c>
      <c r="G81" s="388">
        <f t="shared" si="32"/>
        <v>0.78644067796610173</v>
      </c>
      <c r="H81" s="388">
        <f t="shared" si="32"/>
        <v>0.81366459627329191</v>
      </c>
      <c r="I81" s="388">
        <f t="shared" si="32"/>
        <v>0.85915492957746475</v>
      </c>
      <c r="J81" s="388">
        <f t="shared" si="32"/>
        <v>0.88</v>
      </c>
      <c r="K81" s="388">
        <f t="shared" si="32"/>
        <v>0.87209302325581395</v>
      </c>
      <c r="L81" s="388">
        <f t="shared" si="32"/>
        <v>0.87134502923976609</v>
      </c>
    </row>
    <row r="82" spans="2:12" x14ac:dyDescent="0.25">
      <c r="B82" s="63" t="s">
        <v>876</v>
      </c>
      <c r="C82" s="388">
        <f t="shared" ref="C82:L82" si="33">1-C81</f>
        <v>0.30827067669172936</v>
      </c>
      <c r="D82" s="388">
        <f t="shared" si="33"/>
        <v>0.22556390977443608</v>
      </c>
      <c r="E82" s="388">
        <f t="shared" si="33"/>
        <v>0.2230215827338129</v>
      </c>
      <c r="F82" s="388">
        <f t="shared" si="33"/>
        <v>0.20588235294117652</v>
      </c>
      <c r="G82" s="388">
        <f t="shared" si="33"/>
        <v>0.21355932203389827</v>
      </c>
      <c r="H82" s="388">
        <f t="shared" si="33"/>
        <v>0.18633540372670809</v>
      </c>
      <c r="I82" s="388">
        <f t="shared" si="33"/>
        <v>0.14084507042253525</v>
      </c>
      <c r="J82" s="388">
        <f t="shared" si="33"/>
        <v>0.12</v>
      </c>
      <c r="K82" s="388">
        <f t="shared" si="33"/>
        <v>0.12790697674418605</v>
      </c>
      <c r="L82" s="388">
        <f t="shared" si="33"/>
        <v>0.12865497076023391</v>
      </c>
    </row>
    <row r="85" spans="2:12" x14ac:dyDescent="0.25">
      <c r="B85" s="63" t="s">
        <v>892</v>
      </c>
    </row>
    <row r="86" spans="2:12" x14ac:dyDescent="0.25">
      <c r="B86" s="63" t="s">
        <v>893</v>
      </c>
      <c r="C86" s="63" t="s">
        <v>894</v>
      </c>
      <c r="D86" s="63" t="s">
        <v>895</v>
      </c>
      <c r="E86" s="63" t="s">
        <v>498</v>
      </c>
      <c r="F86" s="63" t="s">
        <v>500</v>
      </c>
    </row>
    <row r="87" spans="2:12" x14ac:dyDescent="0.25">
      <c r="B87" s="63" t="s">
        <v>896</v>
      </c>
      <c r="C87" s="63" t="s">
        <v>897</v>
      </c>
      <c r="D87" s="63" t="s">
        <v>875</v>
      </c>
      <c r="E87" s="63">
        <v>2019</v>
      </c>
      <c r="F87" s="63">
        <v>52.7</v>
      </c>
    </row>
    <row r="88" spans="2:12" x14ac:dyDescent="0.25">
      <c r="B88" s="63" t="s">
        <v>896</v>
      </c>
      <c r="C88" s="63" t="s">
        <v>897</v>
      </c>
      <c r="D88" s="63" t="s">
        <v>876</v>
      </c>
      <c r="E88" s="63">
        <v>2019</v>
      </c>
      <c r="F88" s="63">
        <v>5.2</v>
      </c>
    </row>
    <row r="89" spans="2:12" x14ac:dyDescent="0.25">
      <c r="B89" s="63" t="s">
        <v>898</v>
      </c>
      <c r="C89" s="63" t="s">
        <v>897</v>
      </c>
      <c r="D89" s="63" t="s">
        <v>875</v>
      </c>
      <c r="E89" s="63">
        <v>2019</v>
      </c>
      <c r="F89" s="63">
        <v>31.8</v>
      </c>
    </row>
    <row r="90" spans="2:12" x14ac:dyDescent="0.25">
      <c r="B90" s="63" t="s">
        <v>898</v>
      </c>
      <c r="C90" s="63" t="s">
        <v>897</v>
      </c>
      <c r="D90" s="63" t="s">
        <v>876</v>
      </c>
      <c r="E90" s="63">
        <v>2019</v>
      </c>
      <c r="F90" s="63">
        <v>1.2</v>
      </c>
    </row>
    <row r="91" spans="2:12" x14ac:dyDescent="0.25">
      <c r="B91" s="63" t="s">
        <v>899</v>
      </c>
      <c r="C91" s="63" t="s">
        <v>897</v>
      </c>
      <c r="D91" s="63" t="s">
        <v>875</v>
      </c>
      <c r="E91" s="63">
        <v>2019</v>
      </c>
      <c r="F91" s="63">
        <v>7.1</v>
      </c>
    </row>
    <row r="92" spans="2:12" x14ac:dyDescent="0.25">
      <c r="B92" s="63" t="s">
        <v>899</v>
      </c>
      <c r="C92" s="63" t="s">
        <v>897</v>
      </c>
      <c r="D92" s="63" t="s">
        <v>876</v>
      </c>
      <c r="E92" s="63">
        <v>2019</v>
      </c>
      <c r="F92" s="63">
        <v>0.3</v>
      </c>
    </row>
    <row r="93" spans="2:12" x14ac:dyDescent="0.25">
      <c r="B93" s="63" t="s">
        <v>900</v>
      </c>
      <c r="C93" s="63" t="s">
        <v>897</v>
      </c>
      <c r="D93" s="63" t="s">
        <v>875</v>
      </c>
      <c r="E93" s="63">
        <v>2019</v>
      </c>
      <c r="F93" s="63">
        <v>5.2</v>
      </c>
    </row>
    <row r="94" spans="2:12" x14ac:dyDescent="0.25">
      <c r="B94" s="63" t="s">
        <v>900</v>
      </c>
      <c r="C94" s="63" t="s">
        <v>897</v>
      </c>
      <c r="D94" s="63" t="s">
        <v>876</v>
      </c>
      <c r="E94" s="63">
        <v>2019</v>
      </c>
      <c r="F94" s="63">
        <v>0.2</v>
      </c>
    </row>
    <row r="95" spans="2:12" x14ac:dyDescent="0.25">
      <c r="B95" s="63" t="s">
        <v>901</v>
      </c>
      <c r="C95" s="63" t="s">
        <v>897</v>
      </c>
      <c r="D95" s="63" t="s">
        <v>875</v>
      </c>
      <c r="E95" s="63">
        <v>2019</v>
      </c>
      <c r="F95" s="63">
        <v>4</v>
      </c>
    </row>
    <row r="96" spans="2:12" x14ac:dyDescent="0.25">
      <c r="B96" s="63" t="s">
        <v>901</v>
      </c>
      <c r="C96" s="63" t="s">
        <v>897</v>
      </c>
      <c r="D96" s="63" t="s">
        <v>876</v>
      </c>
      <c r="E96" s="63">
        <v>2019</v>
      </c>
      <c r="F96" s="63">
        <v>0.1</v>
      </c>
    </row>
    <row r="98" spans="2:6" x14ac:dyDescent="0.25">
      <c r="B98" s="63" t="s">
        <v>878</v>
      </c>
      <c r="C98" s="63" t="s">
        <v>897</v>
      </c>
      <c r="D98" s="63" t="s">
        <v>875</v>
      </c>
      <c r="F98" s="63">
        <f>SUMIFS(F87:F97,$D$87:$D$97,$D98)</f>
        <v>100.8</v>
      </c>
    </row>
    <row r="99" spans="2:6" x14ac:dyDescent="0.25">
      <c r="B99" s="63" t="s">
        <v>878</v>
      </c>
      <c r="C99" s="63" t="s">
        <v>897</v>
      </c>
      <c r="D99" s="63" t="s">
        <v>876</v>
      </c>
      <c r="F99" s="63">
        <f>SUMIFS(F88:F98,$D$87:$D$97,$D99)</f>
        <v>48.1</v>
      </c>
    </row>
  </sheetData>
  <hyperlinks>
    <hyperlink ref="B1" r:id="rId1" xr:uid="{52E42850-CA4A-4F81-9541-908A8028EB92}"/>
  </hyperlinks>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E49C76-FC74-43E8-A27A-C20B9A1B7E1E}">
  <sheetPr>
    <tabColor rgb="FF00B0F0"/>
  </sheetPr>
  <dimension ref="B4:J122"/>
  <sheetViews>
    <sheetView workbookViewId="0"/>
  </sheetViews>
  <sheetFormatPr defaultRowHeight="15" x14ac:dyDescent="0.25"/>
  <cols>
    <col min="2" max="2" width="20.5703125" customWidth="1"/>
    <col min="4" max="4" width="18.85546875" bestFit="1" customWidth="1"/>
    <col min="5" max="5" width="55.5703125" bestFit="1" customWidth="1"/>
  </cols>
  <sheetData>
    <row r="4" spans="2:10" ht="18" thickBot="1" x14ac:dyDescent="0.35">
      <c r="D4" s="1" t="s">
        <v>0</v>
      </c>
    </row>
    <row r="5" spans="2:10" ht="16.5" thickTop="1" thickBot="1" x14ac:dyDescent="0.3">
      <c r="B5" s="2" t="s">
        <v>1342</v>
      </c>
      <c r="C5" s="2" t="s">
        <v>1341</v>
      </c>
      <c r="D5" s="2" t="s">
        <v>1</v>
      </c>
      <c r="E5" s="2" t="s">
        <v>2</v>
      </c>
      <c r="F5" s="2" t="s">
        <v>3</v>
      </c>
      <c r="G5" s="2" t="s">
        <v>4</v>
      </c>
      <c r="H5" s="2" t="s">
        <v>5</v>
      </c>
      <c r="I5" s="2" t="s">
        <v>6</v>
      </c>
      <c r="J5" s="2" t="s">
        <v>920</v>
      </c>
    </row>
    <row r="6" spans="2:10" x14ac:dyDescent="0.25">
      <c r="B6" s="225"/>
      <c r="C6" s="687"/>
      <c r="D6" s="710" t="str">
        <f t="shared" ref="D6:D69" si="0">IF(C6=1,B6,"*")</f>
        <v>*</v>
      </c>
      <c r="E6" s="225" t="s">
        <v>521</v>
      </c>
      <c r="F6" s="221"/>
      <c r="G6" s="221"/>
      <c r="H6" s="220"/>
      <c r="I6" s="220"/>
      <c r="J6" s="220"/>
    </row>
    <row r="7" spans="2:10" x14ac:dyDescent="0.25">
      <c r="B7" s="220" t="s">
        <v>921</v>
      </c>
      <c r="C7" s="687">
        <v>1</v>
      </c>
      <c r="D7" s="710" t="str">
        <f t="shared" si="0"/>
        <v>TPPRSUVODS-N</v>
      </c>
      <c r="E7" s="220" t="s">
        <v>922</v>
      </c>
      <c r="F7" s="221"/>
      <c r="G7" s="221"/>
      <c r="H7" s="220" t="s">
        <v>505</v>
      </c>
      <c r="I7" s="220" t="s">
        <v>506</v>
      </c>
      <c r="J7" s="220" t="s">
        <v>923</v>
      </c>
    </row>
    <row r="8" spans="2:10" x14ac:dyDescent="0.25">
      <c r="B8" s="220" t="s">
        <v>924</v>
      </c>
      <c r="C8" s="687">
        <v>1</v>
      </c>
      <c r="D8" s="710" t="str">
        <f t="shared" si="0"/>
        <v>TPPRSUVOGS-N</v>
      </c>
      <c r="E8" s="220" t="s">
        <v>925</v>
      </c>
      <c r="F8" s="221"/>
      <c r="G8" s="221"/>
      <c r="H8" s="220" t="s">
        <v>505</v>
      </c>
      <c r="I8" s="220" t="s">
        <v>506</v>
      </c>
      <c r="J8" s="220" t="s">
        <v>923</v>
      </c>
    </row>
    <row r="9" spans="2:10" x14ac:dyDescent="0.25">
      <c r="B9" s="220" t="s">
        <v>926</v>
      </c>
      <c r="C9" s="687">
        <v>0</v>
      </c>
      <c r="D9" s="710" t="str">
        <f t="shared" si="0"/>
        <v>*</v>
      </c>
      <c r="E9" s="220" t="s">
        <v>927</v>
      </c>
      <c r="F9" s="221"/>
      <c r="G9" s="221"/>
      <c r="H9" s="220" t="s">
        <v>505</v>
      </c>
      <c r="I9" s="220" t="s">
        <v>506</v>
      </c>
      <c r="J9" s="220" t="s">
        <v>923</v>
      </c>
    </row>
    <row r="10" spans="2:10" x14ac:dyDescent="0.25">
      <c r="B10" s="220" t="s">
        <v>928</v>
      </c>
      <c r="C10" s="687">
        <v>1</v>
      </c>
      <c r="D10" s="710" t="str">
        <f t="shared" si="0"/>
        <v>TPPRSUVOGSH-N</v>
      </c>
      <c r="E10" s="220" t="s">
        <v>929</v>
      </c>
      <c r="F10" s="221"/>
      <c r="G10" s="221"/>
      <c r="H10" s="220" t="s">
        <v>505</v>
      </c>
      <c r="I10" s="220" t="s">
        <v>506</v>
      </c>
      <c r="J10" s="220" t="s">
        <v>923</v>
      </c>
    </row>
    <row r="11" spans="2:10" x14ac:dyDescent="0.25">
      <c r="B11" s="220" t="s">
        <v>1327</v>
      </c>
      <c r="C11" s="687">
        <v>1</v>
      </c>
      <c r="D11" s="710" t="str">
        <f t="shared" si="0"/>
        <v>TPPRSUVOGSP-N</v>
      </c>
      <c r="E11" s="220" t="s">
        <v>1328</v>
      </c>
      <c r="F11" s="221"/>
      <c r="G11" s="221"/>
      <c r="H11" s="220" t="s">
        <v>505</v>
      </c>
      <c r="I11" s="220" t="s">
        <v>506</v>
      </c>
      <c r="J11" s="220" t="s">
        <v>923</v>
      </c>
    </row>
    <row r="12" spans="2:10" x14ac:dyDescent="0.25">
      <c r="B12" s="220" t="s">
        <v>930</v>
      </c>
      <c r="C12" s="687">
        <v>0</v>
      </c>
      <c r="D12" s="710" t="str">
        <f t="shared" si="0"/>
        <v>*</v>
      </c>
      <c r="E12" s="220" t="s">
        <v>931</v>
      </c>
      <c r="F12" s="221"/>
      <c r="G12" s="221"/>
      <c r="H12" s="220" t="s">
        <v>505</v>
      </c>
      <c r="I12" s="220" t="s">
        <v>506</v>
      </c>
      <c r="J12" s="220" t="s">
        <v>923</v>
      </c>
    </row>
    <row r="13" spans="2:10" x14ac:dyDescent="0.25">
      <c r="B13" s="220" t="s">
        <v>932</v>
      </c>
      <c r="C13" s="687">
        <v>1</v>
      </c>
      <c r="D13" s="710" t="str">
        <f t="shared" si="0"/>
        <v>TPPRSUVHGNF-N</v>
      </c>
      <c r="E13" s="220" t="s">
        <v>933</v>
      </c>
      <c r="F13" s="221"/>
      <c r="G13" s="221"/>
      <c r="H13" s="220" t="s">
        <v>505</v>
      </c>
      <c r="I13" s="220" t="s">
        <v>506</v>
      </c>
      <c r="J13" s="220" t="s">
        <v>923</v>
      </c>
    </row>
    <row r="14" spans="2:10" x14ac:dyDescent="0.25">
      <c r="B14" s="220" t="s">
        <v>934</v>
      </c>
      <c r="C14" s="687">
        <v>0</v>
      </c>
      <c r="D14" s="710" t="str">
        <f t="shared" si="0"/>
        <v>*</v>
      </c>
      <c r="E14" s="220" t="s">
        <v>935</v>
      </c>
      <c r="F14" s="221"/>
      <c r="G14" s="221"/>
      <c r="H14" s="220" t="s">
        <v>505</v>
      </c>
      <c r="I14" s="220" t="s">
        <v>506</v>
      </c>
      <c r="J14" s="220" t="s">
        <v>923</v>
      </c>
    </row>
    <row r="15" spans="2:10" x14ac:dyDescent="0.25">
      <c r="B15" s="220" t="s">
        <v>936</v>
      </c>
      <c r="C15" s="687">
        <v>1</v>
      </c>
      <c r="D15" s="710" t="str">
        <f t="shared" si="0"/>
        <v>TPPRSUVELC-N</v>
      </c>
      <c r="E15" s="220" t="s">
        <v>937</v>
      </c>
      <c r="F15" s="221"/>
      <c r="G15" s="221"/>
      <c r="H15" s="220" t="s">
        <v>505</v>
      </c>
      <c r="I15" s="220" t="s">
        <v>506</v>
      </c>
      <c r="J15" s="220" t="s">
        <v>923</v>
      </c>
    </row>
    <row r="16" spans="2:10" x14ac:dyDescent="0.25">
      <c r="B16" s="398"/>
      <c r="C16" s="687"/>
      <c r="D16" s="710" t="str">
        <f t="shared" si="0"/>
        <v>*</v>
      </c>
      <c r="E16" s="220" t="s">
        <v>504</v>
      </c>
      <c r="F16" s="221"/>
      <c r="G16" s="221"/>
      <c r="H16" s="220"/>
      <c r="I16" s="220"/>
      <c r="J16" s="220"/>
    </row>
    <row r="17" spans="2:10" x14ac:dyDescent="0.25">
      <c r="B17" s="225"/>
      <c r="C17" s="687"/>
      <c r="D17" s="710" t="str">
        <f t="shared" si="0"/>
        <v>*</v>
      </c>
      <c r="E17" s="225" t="s">
        <v>522</v>
      </c>
      <c r="F17" s="221"/>
      <c r="G17" s="221"/>
      <c r="H17" s="220"/>
      <c r="I17" s="220"/>
      <c r="J17" s="220"/>
    </row>
    <row r="18" spans="2:10" x14ac:dyDescent="0.25">
      <c r="B18" s="220" t="s">
        <v>938</v>
      </c>
      <c r="C18" s="687">
        <v>1</v>
      </c>
      <c r="D18" s="710" t="str">
        <f t="shared" si="0"/>
        <v>TPPRCARODS-N</v>
      </c>
      <c r="E18" s="220" t="s">
        <v>939</v>
      </c>
      <c r="F18" s="221"/>
      <c r="G18" s="221"/>
      <c r="H18" s="220" t="s">
        <v>505</v>
      </c>
      <c r="I18" s="220" t="s">
        <v>506</v>
      </c>
      <c r="J18" s="220" t="s">
        <v>923</v>
      </c>
    </row>
    <row r="19" spans="2:10" x14ac:dyDescent="0.25">
      <c r="B19" s="220" t="s">
        <v>940</v>
      </c>
      <c r="C19" s="687">
        <v>1</v>
      </c>
      <c r="D19" s="710" t="str">
        <f t="shared" si="0"/>
        <v>TPPRCAROGS-N</v>
      </c>
      <c r="E19" s="220" t="s">
        <v>941</v>
      </c>
      <c r="F19" s="221"/>
      <c r="G19" s="221"/>
      <c r="H19" s="220" t="s">
        <v>505</v>
      </c>
      <c r="I19" s="220" t="s">
        <v>506</v>
      </c>
      <c r="J19" s="220" t="s">
        <v>923</v>
      </c>
    </row>
    <row r="20" spans="2:10" x14ac:dyDescent="0.25">
      <c r="B20" s="220" t="s">
        <v>942</v>
      </c>
      <c r="C20" s="687">
        <v>0</v>
      </c>
      <c r="D20" s="710" t="str">
        <f t="shared" si="0"/>
        <v>*</v>
      </c>
      <c r="E20" s="220" t="s">
        <v>943</v>
      </c>
      <c r="F20" s="221"/>
      <c r="G20" s="221"/>
      <c r="H20" s="220" t="s">
        <v>505</v>
      </c>
      <c r="I20" s="220" t="s">
        <v>506</v>
      </c>
      <c r="J20" s="220" t="s">
        <v>923</v>
      </c>
    </row>
    <row r="21" spans="2:10" x14ac:dyDescent="0.25">
      <c r="B21" s="220" t="s">
        <v>944</v>
      </c>
      <c r="C21" s="687">
        <v>1</v>
      </c>
      <c r="D21" s="710" t="str">
        <f t="shared" si="0"/>
        <v>TPPRCAROGSH-N</v>
      </c>
      <c r="E21" s="220" t="s">
        <v>945</v>
      </c>
      <c r="F21" s="221"/>
      <c r="G21" s="221"/>
      <c r="H21" s="220" t="s">
        <v>505</v>
      </c>
      <c r="I21" s="220" t="s">
        <v>506</v>
      </c>
      <c r="J21" s="220" t="s">
        <v>923</v>
      </c>
    </row>
    <row r="22" spans="2:10" x14ac:dyDescent="0.25">
      <c r="B22" s="220" t="s">
        <v>1329</v>
      </c>
      <c r="C22" s="687">
        <v>1</v>
      </c>
      <c r="D22" s="710" t="str">
        <f t="shared" si="0"/>
        <v>TPPRCAROGSP-N</v>
      </c>
      <c r="E22" s="220" t="s">
        <v>1330</v>
      </c>
      <c r="F22" s="221"/>
      <c r="G22" s="221"/>
      <c r="H22" s="220" t="s">
        <v>505</v>
      </c>
      <c r="I22" s="220" t="s">
        <v>506</v>
      </c>
      <c r="J22" s="220" t="s">
        <v>923</v>
      </c>
    </row>
    <row r="23" spans="2:10" x14ac:dyDescent="0.25">
      <c r="B23" s="220" t="s">
        <v>946</v>
      </c>
      <c r="C23" s="687">
        <v>1</v>
      </c>
      <c r="D23" s="710" t="str">
        <f t="shared" si="0"/>
        <v>TPPRCARELC-N</v>
      </c>
      <c r="E23" s="220" t="s">
        <v>947</v>
      </c>
      <c r="F23" s="221"/>
      <c r="G23" s="221"/>
      <c r="H23" s="220" t="s">
        <v>505</v>
      </c>
      <c r="I23" s="220" t="s">
        <v>506</v>
      </c>
      <c r="J23" s="220" t="s">
        <v>923</v>
      </c>
    </row>
    <row r="24" spans="2:10" x14ac:dyDescent="0.25">
      <c r="B24" s="220" t="s">
        <v>948</v>
      </c>
      <c r="C24" s="687">
        <v>0</v>
      </c>
      <c r="D24" s="710" t="str">
        <f t="shared" si="0"/>
        <v>*</v>
      </c>
      <c r="E24" s="220" t="s">
        <v>949</v>
      </c>
      <c r="F24" s="221"/>
      <c r="G24" s="221"/>
      <c r="H24" s="220" t="s">
        <v>505</v>
      </c>
      <c r="I24" s="220" t="s">
        <v>506</v>
      </c>
      <c r="J24" s="220" t="s">
        <v>923</v>
      </c>
    </row>
    <row r="25" spans="2:10" x14ac:dyDescent="0.25">
      <c r="B25" s="220" t="s">
        <v>950</v>
      </c>
      <c r="C25" s="687">
        <v>1</v>
      </c>
      <c r="D25" s="710" t="str">
        <f t="shared" si="0"/>
        <v>TPPRCARHGNF-N</v>
      </c>
      <c r="E25" s="220" t="s">
        <v>951</v>
      </c>
      <c r="F25" s="221"/>
      <c r="G25" s="221"/>
      <c r="H25" s="220" t="s">
        <v>505</v>
      </c>
      <c r="I25" s="220" t="s">
        <v>506</v>
      </c>
      <c r="J25" s="220" t="s">
        <v>923</v>
      </c>
    </row>
    <row r="26" spans="2:10" x14ac:dyDescent="0.25">
      <c r="B26" s="220" t="s">
        <v>952</v>
      </c>
      <c r="C26" s="687">
        <v>0</v>
      </c>
      <c r="D26" s="710" t="str">
        <f t="shared" si="0"/>
        <v>*</v>
      </c>
      <c r="E26" s="220" t="s">
        <v>953</v>
      </c>
      <c r="F26" s="221"/>
      <c r="G26" s="221"/>
      <c r="H26" s="220" t="s">
        <v>505</v>
      </c>
      <c r="I26" s="220" t="s">
        <v>506</v>
      </c>
      <c r="J26" s="220" t="s">
        <v>923</v>
      </c>
    </row>
    <row r="27" spans="2:10" x14ac:dyDescent="0.25">
      <c r="B27" s="398"/>
      <c r="C27" s="687"/>
      <c r="D27" s="710" t="str">
        <f t="shared" si="0"/>
        <v>*</v>
      </c>
      <c r="E27" s="220" t="s">
        <v>504</v>
      </c>
      <c r="F27" s="221"/>
      <c r="G27" s="221"/>
      <c r="H27" s="220"/>
      <c r="I27" s="220"/>
      <c r="J27" s="220"/>
    </row>
    <row r="28" spans="2:10" x14ac:dyDescent="0.25">
      <c r="B28" s="225"/>
      <c r="C28" s="687"/>
      <c r="D28" s="710" t="str">
        <f t="shared" si="0"/>
        <v>*</v>
      </c>
      <c r="E28" s="225" t="s">
        <v>523</v>
      </c>
      <c r="F28" s="221"/>
      <c r="G28" s="221"/>
      <c r="H28" s="220"/>
      <c r="I28" s="220"/>
      <c r="J28" s="220"/>
    </row>
    <row r="29" spans="2:10" x14ac:dyDescent="0.25">
      <c r="B29" s="220" t="s">
        <v>392</v>
      </c>
      <c r="C29" s="687">
        <v>1</v>
      </c>
      <c r="D29" s="710" t="str">
        <f t="shared" si="0"/>
        <v>TPPRMOTOGS-N</v>
      </c>
      <c r="E29" s="220" t="s">
        <v>954</v>
      </c>
      <c r="F29" s="221"/>
      <c r="G29" s="221"/>
      <c r="H29" s="220" t="s">
        <v>505</v>
      </c>
      <c r="I29" s="220" t="s">
        <v>506</v>
      </c>
      <c r="J29" s="220" t="s">
        <v>923</v>
      </c>
    </row>
    <row r="30" spans="2:10" x14ac:dyDescent="0.25">
      <c r="B30" s="220" t="s">
        <v>955</v>
      </c>
      <c r="C30" s="687">
        <v>1</v>
      </c>
      <c r="D30" s="710" t="str">
        <f t="shared" si="0"/>
        <v>TPPRMOTELC-N</v>
      </c>
      <c r="E30" s="220" t="s">
        <v>956</v>
      </c>
      <c r="F30" s="221"/>
      <c r="G30" s="221"/>
      <c r="H30" s="220" t="s">
        <v>505</v>
      </c>
      <c r="I30" s="220" t="s">
        <v>506</v>
      </c>
      <c r="J30" s="220" t="s">
        <v>923</v>
      </c>
    </row>
    <row r="31" spans="2:10" x14ac:dyDescent="0.25">
      <c r="B31" s="220"/>
      <c r="C31" s="687"/>
      <c r="D31" s="710" t="str">
        <f t="shared" si="0"/>
        <v>*</v>
      </c>
      <c r="E31" s="220" t="s">
        <v>504</v>
      </c>
      <c r="F31" s="221"/>
      <c r="G31" s="221"/>
      <c r="H31" s="220" t="s">
        <v>505</v>
      </c>
      <c r="I31" s="220" t="s">
        <v>506</v>
      </c>
      <c r="J31" s="220" t="s">
        <v>923</v>
      </c>
    </row>
    <row r="32" spans="2:10" x14ac:dyDescent="0.25">
      <c r="B32" s="227"/>
      <c r="C32" s="687"/>
      <c r="D32" s="710" t="str">
        <f t="shared" si="0"/>
        <v>*</v>
      </c>
      <c r="E32" s="227" t="s">
        <v>524</v>
      </c>
      <c r="F32" s="221"/>
      <c r="G32" s="221"/>
      <c r="H32" s="220"/>
      <c r="I32" s="220"/>
      <c r="J32" s="220"/>
    </row>
    <row r="33" spans="2:10" x14ac:dyDescent="0.25">
      <c r="B33" s="398" t="s">
        <v>957</v>
      </c>
      <c r="C33" s="687">
        <v>1</v>
      </c>
      <c r="D33" s="710" t="str">
        <f t="shared" si="0"/>
        <v>TPPUBUSODS-N</v>
      </c>
      <c r="E33" s="220" t="s">
        <v>958</v>
      </c>
      <c r="F33" s="221"/>
      <c r="G33" s="221"/>
      <c r="H33" s="220" t="s">
        <v>505</v>
      </c>
      <c r="I33" s="220" t="s">
        <v>506</v>
      </c>
      <c r="J33" s="220" t="s">
        <v>923</v>
      </c>
    </row>
    <row r="34" spans="2:10" x14ac:dyDescent="0.25">
      <c r="B34" s="220" t="s">
        <v>959</v>
      </c>
      <c r="C34" s="687">
        <v>0</v>
      </c>
      <c r="D34" s="710" t="str">
        <f t="shared" si="0"/>
        <v>*</v>
      </c>
      <c r="E34" s="220" t="s">
        <v>960</v>
      </c>
      <c r="F34" s="221"/>
      <c r="G34" s="221"/>
      <c r="H34" s="220" t="s">
        <v>505</v>
      </c>
      <c r="I34" s="220" t="s">
        <v>506</v>
      </c>
      <c r="J34" s="220" t="s">
        <v>923</v>
      </c>
    </row>
    <row r="35" spans="2:10" x14ac:dyDescent="0.25">
      <c r="B35" s="220" t="s">
        <v>961</v>
      </c>
      <c r="C35" s="687">
        <v>1</v>
      </c>
      <c r="D35" s="710" t="str">
        <f t="shared" si="0"/>
        <v>TPPUBUSHGNF-N</v>
      </c>
      <c r="E35" s="220" t="s">
        <v>962</v>
      </c>
      <c r="F35" s="221"/>
      <c r="G35" s="221"/>
      <c r="H35" s="220" t="s">
        <v>505</v>
      </c>
      <c r="I35" s="220" t="s">
        <v>506</v>
      </c>
      <c r="J35" s="220" t="s">
        <v>923</v>
      </c>
    </row>
    <row r="36" spans="2:10" x14ac:dyDescent="0.25">
      <c r="B36" s="220" t="s">
        <v>963</v>
      </c>
      <c r="C36" s="687">
        <v>0</v>
      </c>
      <c r="D36" s="710" t="str">
        <f t="shared" si="0"/>
        <v>*</v>
      </c>
      <c r="E36" s="220" t="s">
        <v>964</v>
      </c>
      <c r="F36" s="221"/>
      <c r="G36" s="221"/>
      <c r="H36" s="220" t="s">
        <v>505</v>
      </c>
      <c r="I36" s="220" t="s">
        <v>506</v>
      </c>
      <c r="J36" s="220" t="s">
        <v>923</v>
      </c>
    </row>
    <row r="37" spans="2:10" x14ac:dyDescent="0.25">
      <c r="B37" s="398" t="s">
        <v>965</v>
      </c>
      <c r="C37" s="687">
        <v>1</v>
      </c>
      <c r="D37" s="710" t="str">
        <f t="shared" si="0"/>
        <v>TPPUBUSELC-N</v>
      </c>
      <c r="E37" s="220" t="s">
        <v>966</v>
      </c>
      <c r="F37" s="221"/>
      <c r="G37" s="221"/>
      <c r="H37" s="220" t="s">
        <v>505</v>
      </c>
      <c r="I37" s="220" t="s">
        <v>506</v>
      </c>
      <c r="J37" s="220" t="s">
        <v>923</v>
      </c>
    </row>
    <row r="38" spans="2:10" x14ac:dyDescent="0.25">
      <c r="B38" s="220"/>
      <c r="C38" s="687"/>
      <c r="D38" s="710" t="str">
        <f t="shared" si="0"/>
        <v>*</v>
      </c>
      <c r="E38" s="220" t="s">
        <v>504</v>
      </c>
      <c r="F38" s="221"/>
      <c r="G38" s="221"/>
      <c r="H38" s="220"/>
      <c r="I38" s="220"/>
      <c r="J38" s="220"/>
    </row>
    <row r="39" spans="2:10" x14ac:dyDescent="0.25">
      <c r="B39" s="227"/>
      <c r="C39" s="687"/>
      <c r="D39" s="710" t="str">
        <f t="shared" si="0"/>
        <v>*</v>
      </c>
      <c r="E39" s="227" t="s">
        <v>525</v>
      </c>
      <c r="F39" s="221"/>
      <c r="G39" s="221"/>
      <c r="H39" s="220"/>
      <c r="I39" s="220"/>
      <c r="J39" s="220"/>
    </row>
    <row r="40" spans="2:10" x14ac:dyDescent="0.25">
      <c r="B40" s="220" t="s">
        <v>967</v>
      </c>
      <c r="C40" s="687">
        <v>1</v>
      </c>
      <c r="D40" s="710" t="str">
        <f t="shared" si="0"/>
        <v>TPPUMBTODS-N</v>
      </c>
      <c r="E40" s="220" t="s">
        <v>968</v>
      </c>
      <c r="F40" s="221"/>
      <c r="G40" s="221"/>
      <c r="H40" s="220" t="s">
        <v>505</v>
      </c>
      <c r="I40" s="220" t="s">
        <v>506</v>
      </c>
      <c r="J40" s="220" t="s">
        <v>923</v>
      </c>
    </row>
    <row r="41" spans="2:10" x14ac:dyDescent="0.25">
      <c r="B41" s="220" t="s">
        <v>969</v>
      </c>
      <c r="C41" s="687">
        <v>1</v>
      </c>
      <c r="D41" s="710" t="str">
        <f t="shared" si="0"/>
        <v>TPPUMBTOGS-N</v>
      </c>
      <c r="E41" s="220" t="s">
        <v>970</v>
      </c>
      <c r="F41" s="221"/>
      <c r="G41" s="221"/>
      <c r="H41" s="220" t="s">
        <v>505</v>
      </c>
      <c r="I41" s="220" t="s">
        <v>506</v>
      </c>
      <c r="J41" s="220" t="s">
        <v>923</v>
      </c>
    </row>
    <row r="42" spans="2:10" x14ac:dyDescent="0.25">
      <c r="B42" s="220" t="s">
        <v>971</v>
      </c>
      <c r="C42" s="687">
        <v>0</v>
      </c>
      <c r="D42" s="710" t="str">
        <f t="shared" si="0"/>
        <v>*</v>
      </c>
      <c r="E42" s="220" t="s">
        <v>972</v>
      </c>
      <c r="F42" s="221"/>
      <c r="G42" s="221"/>
      <c r="H42" s="220" t="s">
        <v>505</v>
      </c>
      <c r="I42" s="220" t="s">
        <v>506</v>
      </c>
      <c r="J42" s="220" t="s">
        <v>923</v>
      </c>
    </row>
    <row r="43" spans="2:10" x14ac:dyDescent="0.25">
      <c r="B43" s="220" t="s">
        <v>973</v>
      </c>
      <c r="C43" s="687">
        <v>0</v>
      </c>
      <c r="D43" s="710" t="str">
        <f t="shared" si="0"/>
        <v>*</v>
      </c>
      <c r="E43" s="220" t="s">
        <v>974</v>
      </c>
      <c r="F43" s="221"/>
      <c r="G43" s="221"/>
      <c r="H43" s="220" t="s">
        <v>505</v>
      </c>
      <c r="I43" s="220" t="s">
        <v>506</v>
      </c>
      <c r="J43" s="220" t="s">
        <v>923</v>
      </c>
    </row>
    <row r="44" spans="2:10" x14ac:dyDescent="0.25">
      <c r="B44" s="398" t="s">
        <v>975</v>
      </c>
      <c r="C44" s="687">
        <v>1</v>
      </c>
      <c r="D44" s="710" t="str">
        <f t="shared" si="0"/>
        <v>TPPUMBTHGNF-N</v>
      </c>
      <c r="E44" s="220" t="s">
        <v>976</v>
      </c>
      <c r="F44" s="221"/>
      <c r="G44" s="221"/>
      <c r="H44" s="220" t="s">
        <v>505</v>
      </c>
      <c r="I44" s="220" t="s">
        <v>506</v>
      </c>
      <c r="J44" s="220" t="s">
        <v>923</v>
      </c>
    </row>
    <row r="45" spans="2:10" x14ac:dyDescent="0.25">
      <c r="B45" s="220" t="s">
        <v>977</v>
      </c>
      <c r="C45" s="687">
        <v>0</v>
      </c>
      <c r="D45" s="710" t="str">
        <f t="shared" si="0"/>
        <v>*</v>
      </c>
      <c r="E45" s="220" t="s">
        <v>978</v>
      </c>
      <c r="F45" s="221"/>
      <c r="G45" s="221"/>
      <c r="H45" s="220" t="s">
        <v>505</v>
      </c>
      <c r="I45" s="220" t="s">
        <v>506</v>
      </c>
      <c r="J45" s="220" t="s">
        <v>923</v>
      </c>
    </row>
    <row r="46" spans="2:10" x14ac:dyDescent="0.25">
      <c r="B46" s="220" t="s">
        <v>979</v>
      </c>
      <c r="C46" s="687">
        <v>1</v>
      </c>
      <c r="D46" s="710" t="str">
        <f t="shared" si="0"/>
        <v>TPPUMBTELC-N</v>
      </c>
      <c r="E46" s="220" t="s">
        <v>980</v>
      </c>
      <c r="F46" s="221"/>
      <c r="G46" s="221"/>
      <c r="H46" s="220" t="s">
        <v>505</v>
      </c>
      <c r="I46" s="220" t="s">
        <v>506</v>
      </c>
      <c r="J46" s="220" t="s">
        <v>923</v>
      </c>
    </row>
    <row r="47" spans="2:10" x14ac:dyDescent="0.25">
      <c r="B47" s="220"/>
      <c r="C47" s="687"/>
      <c r="D47" s="710" t="str">
        <f t="shared" si="0"/>
        <v>*</v>
      </c>
      <c r="E47" s="220" t="s">
        <v>504</v>
      </c>
      <c r="F47" s="221"/>
      <c r="G47" s="221"/>
      <c r="H47" s="220"/>
      <c r="I47" s="220"/>
      <c r="J47" s="220"/>
    </row>
    <row r="48" spans="2:10" x14ac:dyDescent="0.25">
      <c r="B48" s="227"/>
      <c r="C48" s="687"/>
      <c r="D48" s="710" t="str">
        <f t="shared" si="0"/>
        <v>*</v>
      </c>
      <c r="E48" s="227" t="s">
        <v>1094</v>
      </c>
      <c r="F48" s="221"/>
      <c r="G48" s="221"/>
      <c r="H48" s="220"/>
      <c r="I48" s="220"/>
      <c r="J48" s="220"/>
    </row>
    <row r="49" spans="2:10" x14ac:dyDescent="0.25">
      <c r="B49" s="220" t="s">
        <v>394</v>
      </c>
      <c r="C49" s="687">
        <v>1</v>
      </c>
      <c r="D49" s="710" t="str">
        <f t="shared" si="0"/>
        <v>TPPUBRTODS-N</v>
      </c>
      <c r="E49" s="220" t="s">
        <v>981</v>
      </c>
      <c r="F49" s="221"/>
      <c r="G49" s="221"/>
      <c r="H49" s="220" t="s">
        <v>505</v>
      </c>
      <c r="I49" s="220" t="s">
        <v>506</v>
      </c>
      <c r="J49" s="220" t="s">
        <v>923</v>
      </c>
    </row>
    <row r="50" spans="2:10" x14ac:dyDescent="0.25">
      <c r="B50" s="220" t="s">
        <v>982</v>
      </c>
      <c r="C50" s="687">
        <v>0</v>
      </c>
      <c r="D50" s="710" t="str">
        <f t="shared" si="0"/>
        <v>*</v>
      </c>
      <c r="E50" s="220" t="s">
        <v>983</v>
      </c>
      <c r="F50" s="221"/>
      <c r="G50" s="221"/>
      <c r="H50" s="220" t="s">
        <v>505</v>
      </c>
      <c r="I50" s="220" t="s">
        <v>506</v>
      </c>
      <c r="J50" s="220" t="s">
        <v>923</v>
      </c>
    </row>
    <row r="51" spans="2:10" x14ac:dyDescent="0.25">
      <c r="B51" s="220" t="s">
        <v>984</v>
      </c>
      <c r="C51" s="687">
        <v>1</v>
      </c>
      <c r="D51" s="710" t="str">
        <f t="shared" si="0"/>
        <v>TPPUBRTELC-N</v>
      </c>
      <c r="E51" s="220" t="s">
        <v>985</v>
      </c>
      <c r="F51" s="221"/>
      <c r="G51" s="221"/>
      <c r="H51" s="220" t="s">
        <v>505</v>
      </c>
      <c r="I51" s="220" t="s">
        <v>506</v>
      </c>
      <c r="J51" s="220" t="s">
        <v>923</v>
      </c>
    </row>
    <row r="52" spans="2:10" x14ac:dyDescent="0.25">
      <c r="B52" s="220" t="s">
        <v>986</v>
      </c>
      <c r="C52" s="687">
        <v>1</v>
      </c>
      <c r="D52" s="710" t="str">
        <f t="shared" si="0"/>
        <v>TPPUBRTHGNF-N</v>
      </c>
      <c r="E52" s="220" t="s">
        <v>987</v>
      </c>
      <c r="F52" s="221"/>
      <c r="G52" s="221"/>
      <c r="H52" s="220" t="s">
        <v>505</v>
      </c>
      <c r="I52" s="220" t="s">
        <v>506</v>
      </c>
      <c r="J52" s="220" t="s">
        <v>923</v>
      </c>
    </row>
    <row r="53" spans="2:10" x14ac:dyDescent="0.25">
      <c r="B53" s="220" t="s">
        <v>988</v>
      </c>
      <c r="C53" s="687">
        <v>0</v>
      </c>
      <c r="D53" s="710" t="str">
        <f t="shared" si="0"/>
        <v>*</v>
      </c>
      <c r="E53" s="220" t="s">
        <v>989</v>
      </c>
      <c r="F53" s="221"/>
      <c r="G53" s="221"/>
      <c r="H53" s="220" t="s">
        <v>505</v>
      </c>
      <c r="I53" s="220" t="s">
        <v>506</v>
      </c>
      <c r="J53" s="220" t="s">
        <v>923</v>
      </c>
    </row>
    <row r="54" spans="2:10" x14ac:dyDescent="0.25">
      <c r="B54" s="220"/>
      <c r="C54" s="687"/>
      <c r="D54" s="710" t="str">
        <f t="shared" si="0"/>
        <v>*</v>
      </c>
      <c r="E54" s="220" t="s">
        <v>504</v>
      </c>
      <c r="F54" s="221"/>
      <c r="G54" s="221"/>
      <c r="H54" s="220"/>
      <c r="I54" s="220"/>
      <c r="J54" s="220"/>
    </row>
    <row r="55" spans="2:10" x14ac:dyDescent="0.25">
      <c r="B55" s="227"/>
      <c r="C55" s="687"/>
      <c r="D55" s="710" t="str">
        <f t="shared" si="0"/>
        <v>*</v>
      </c>
      <c r="E55" s="227" t="s">
        <v>1095</v>
      </c>
      <c r="F55" s="221"/>
      <c r="G55" s="221"/>
      <c r="H55" s="220"/>
      <c r="I55" s="220"/>
      <c r="J55" s="220"/>
    </row>
    <row r="56" spans="2:10" x14ac:dyDescent="0.25">
      <c r="B56" s="220" t="s">
        <v>401</v>
      </c>
      <c r="C56" s="687">
        <v>1</v>
      </c>
      <c r="D56" s="710" t="str">
        <f t="shared" si="0"/>
        <v>TPPUMERELC-N</v>
      </c>
      <c r="E56" s="220" t="s">
        <v>990</v>
      </c>
      <c r="F56" s="221" t="s">
        <v>507</v>
      </c>
      <c r="G56" s="221" t="s">
        <v>508</v>
      </c>
      <c r="H56" s="220" t="s">
        <v>505</v>
      </c>
      <c r="I56" s="220" t="s">
        <v>506</v>
      </c>
      <c r="J56" s="220"/>
    </row>
    <row r="57" spans="2:10" x14ac:dyDescent="0.25">
      <c r="B57" s="220" t="s">
        <v>402</v>
      </c>
      <c r="C57" s="687">
        <v>1</v>
      </c>
      <c r="D57" s="710" t="str">
        <f t="shared" si="0"/>
        <v>TPPUGATELC-N</v>
      </c>
      <c r="E57" s="220" t="s">
        <v>991</v>
      </c>
      <c r="F57" s="221" t="s">
        <v>507</v>
      </c>
      <c r="G57" s="221" t="s">
        <v>508</v>
      </c>
      <c r="H57" s="220" t="s">
        <v>505</v>
      </c>
      <c r="I57" s="220" t="s">
        <v>506</v>
      </c>
      <c r="J57" s="220"/>
    </row>
    <row r="58" spans="2:10" x14ac:dyDescent="0.25">
      <c r="B58" s="220"/>
      <c r="C58" s="687"/>
      <c r="D58" s="710" t="str">
        <f t="shared" si="0"/>
        <v>*</v>
      </c>
      <c r="E58" s="220" t="s">
        <v>504</v>
      </c>
      <c r="F58" s="221"/>
      <c r="G58" s="221"/>
      <c r="H58" s="220"/>
      <c r="I58" s="220"/>
      <c r="J58" s="220"/>
    </row>
    <row r="59" spans="2:10" x14ac:dyDescent="0.25">
      <c r="B59" s="220"/>
      <c r="C59" s="687"/>
      <c r="D59" s="710" t="str">
        <f t="shared" si="0"/>
        <v>*</v>
      </c>
      <c r="E59" s="220" t="s">
        <v>504</v>
      </c>
      <c r="F59" s="221"/>
      <c r="G59" s="221"/>
      <c r="H59" s="220"/>
      <c r="I59" s="220"/>
      <c r="J59" s="220"/>
    </row>
    <row r="60" spans="2:10" x14ac:dyDescent="0.25">
      <c r="B60" s="227" t="s">
        <v>1096</v>
      </c>
      <c r="C60" s="687"/>
      <c r="D60" s="710" t="str">
        <f t="shared" si="0"/>
        <v>*</v>
      </c>
      <c r="E60" s="227" t="s">
        <v>1096</v>
      </c>
      <c r="F60" s="221"/>
      <c r="G60" s="221"/>
      <c r="H60" s="220"/>
      <c r="I60" s="220"/>
      <c r="J60" s="220"/>
    </row>
    <row r="61" spans="2:10" x14ac:dyDescent="0.25">
      <c r="B61" s="220" t="s">
        <v>992</v>
      </c>
      <c r="C61" s="687">
        <v>1</v>
      </c>
      <c r="D61" s="710" t="str">
        <f t="shared" si="0"/>
        <v>TFLCVODS-N</v>
      </c>
      <c r="E61" s="220" t="s">
        <v>993</v>
      </c>
      <c r="F61" s="221"/>
      <c r="G61" s="221"/>
      <c r="H61" s="220" t="s">
        <v>505</v>
      </c>
      <c r="I61" s="220" t="s">
        <v>506</v>
      </c>
      <c r="J61" s="220" t="s">
        <v>923</v>
      </c>
    </row>
    <row r="62" spans="2:10" x14ac:dyDescent="0.25">
      <c r="B62" s="220" t="s">
        <v>994</v>
      </c>
      <c r="C62" s="687">
        <v>0</v>
      </c>
      <c r="D62" s="710" t="str">
        <f t="shared" si="0"/>
        <v>*</v>
      </c>
      <c r="E62" s="220" t="s">
        <v>995</v>
      </c>
      <c r="F62" s="221"/>
      <c r="G62" s="221"/>
      <c r="H62" s="220" t="s">
        <v>505</v>
      </c>
      <c r="I62" s="220" t="s">
        <v>506</v>
      </c>
      <c r="J62" s="220" t="s">
        <v>923</v>
      </c>
    </row>
    <row r="63" spans="2:10" x14ac:dyDescent="0.25">
      <c r="B63" s="220" t="s">
        <v>996</v>
      </c>
      <c r="C63" s="687">
        <v>1</v>
      </c>
      <c r="D63" s="710" t="str">
        <f t="shared" si="0"/>
        <v>TFLCVOGS-N</v>
      </c>
      <c r="E63" s="220" t="s">
        <v>997</v>
      </c>
      <c r="F63" s="221"/>
      <c r="G63" s="221"/>
      <c r="H63" s="220" t="s">
        <v>505</v>
      </c>
      <c r="I63" s="220" t="s">
        <v>506</v>
      </c>
      <c r="J63" s="220" t="s">
        <v>923</v>
      </c>
    </row>
    <row r="64" spans="2:10" x14ac:dyDescent="0.25">
      <c r="B64" s="220" t="s">
        <v>998</v>
      </c>
      <c r="C64" s="687">
        <v>1</v>
      </c>
      <c r="D64" s="710" t="str">
        <f t="shared" si="0"/>
        <v>TFLCVOGSH-N</v>
      </c>
      <c r="E64" s="220" t="s">
        <v>999</v>
      </c>
      <c r="F64" s="221"/>
      <c r="G64" s="221"/>
      <c r="H64" s="220" t="s">
        <v>505</v>
      </c>
      <c r="I64" s="220" t="s">
        <v>506</v>
      </c>
      <c r="J64" s="220" t="s">
        <v>923</v>
      </c>
    </row>
    <row r="65" spans="2:10" x14ac:dyDescent="0.25">
      <c r="B65" s="220" t="s">
        <v>1000</v>
      </c>
      <c r="C65" s="687">
        <v>0</v>
      </c>
      <c r="D65" s="710" t="str">
        <f t="shared" si="0"/>
        <v>*</v>
      </c>
      <c r="E65" s="220" t="s">
        <v>1001</v>
      </c>
      <c r="F65" s="221"/>
      <c r="G65" s="221"/>
      <c r="H65" s="220" t="s">
        <v>505</v>
      </c>
      <c r="I65" s="220" t="s">
        <v>506</v>
      </c>
      <c r="J65" s="220" t="s">
        <v>923</v>
      </c>
    </row>
    <row r="66" spans="2:10" x14ac:dyDescent="0.25">
      <c r="B66" s="220" t="s">
        <v>1002</v>
      </c>
      <c r="C66" s="687">
        <v>1</v>
      </c>
      <c r="D66" s="710" t="str">
        <f t="shared" si="0"/>
        <v>TFLCVELC-N</v>
      </c>
      <c r="E66" s="220" t="s">
        <v>1003</v>
      </c>
      <c r="F66" s="221"/>
      <c r="G66" s="221"/>
      <c r="H66" s="220" t="s">
        <v>505</v>
      </c>
      <c r="I66" s="220" t="s">
        <v>506</v>
      </c>
      <c r="J66" s="220" t="s">
        <v>923</v>
      </c>
    </row>
    <row r="67" spans="2:10" x14ac:dyDescent="0.25">
      <c r="B67" s="220"/>
      <c r="C67" s="687"/>
      <c r="D67" s="710" t="str">
        <f t="shared" si="0"/>
        <v>*</v>
      </c>
      <c r="E67" s="220" t="s">
        <v>504</v>
      </c>
      <c r="F67" s="221"/>
      <c r="G67" s="221"/>
      <c r="H67" s="220"/>
      <c r="I67" s="220"/>
      <c r="J67" s="220"/>
    </row>
    <row r="68" spans="2:10" x14ac:dyDescent="0.25">
      <c r="B68" s="227" t="s">
        <v>1097</v>
      </c>
      <c r="C68" s="687"/>
      <c r="D68" s="710" t="str">
        <f t="shared" si="0"/>
        <v>*</v>
      </c>
      <c r="E68" s="227" t="s">
        <v>1097</v>
      </c>
      <c r="F68" s="221"/>
      <c r="G68" s="221"/>
      <c r="H68" s="220"/>
      <c r="I68" s="220"/>
      <c r="J68" s="220"/>
    </row>
    <row r="69" spans="2:10" x14ac:dyDescent="0.25">
      <c r="B69" s="220" t="s">
        <v>1004</v>
      </c>
      <c r="C69" s="687">
        <v>1</v>
      </c>
      <c r="D69" s="710" t="str">
        <f t="shared" si="0"/>
        <v>TFHCV1ODS-N</v>
      </c>
      <c r="E69" s="220" t="s">
        <v>1005</v>
      </c>
      <c r="F69" s="221"/>
      <c r="G69" s="221"/>
      <c r="H69" s="220" t="s">
        <v>505</v>
      </c>
      <c r="I69" s="220" t="s">
        <v>506</v>
      </c>
      <c r="J69" s="220" t="s">
        <v>923</v>
      </c>
    </row>
    <row r="70" spans="2:10" x14ac:dyDescent="0.25">
      <c r="B70" s="220" t="s">
        <v>1006</v>
      </c>
      <c r="C70" s="687">
        <v>1</v>
      </c>
      <c r="D70" s="710" t="str">
        <f t="shared" ref="D70:D122" si="1">IF(C70=1,B70,"*")</f>
        <v>TFHCV1OGS-N</v>
      </c>
      <c r="E70" s="220" t="s">
        <v>1007</v>
      </c>
      <c r="F70" s="221"/>
      <c r="G70" s="221"/>
      <c r="H70" s="220" t="s">
        <v>505</v>
      </c>
      <c r="I70" s="220" t="s">
        <v>506</v>
      </c>
      <c r="J70" s="220" t="s">
        <v>923</v>
      </c>
    </row>
    <row r="71" spans="2:10" x14ac:dyDescent="0.25">
      <c r="B71" s="220" t="s">
        <v>1008</v>
      </c>
      <c r="C71" s="687">
        <v>1</v>
      </c>
      <c r="D71" s="710" t="str">
        <f t="shared" si="1"/>
        <v>TFHCV2ODS-N</v>
      </c>
      <c r="E71" s="220" t="s">
        <v>1009</v>
      </c>
      <c r="F71" s="221"/>
      <c r="G71" s="221"/>
      <c r="H71" s="220" t="s">
        <v>505</v>
      </c>
      <c r="I71" s="220" t="s">
        <v>506</v>
      </c>
      <c r="J71" s="220" t="s">
        <v>923</v>
      </c>
    </row>
    <row r="72" spans="2:10" x14ac:dyDescent="0.25">
      <c r="B72" s="220" t="s">
        <v>1010</v>
      </c>
      <c r="C72" s="687">
        <v>1</v>
      </c>
      <c r="D72" s="710" t="str">
        <f t="shared" si="1"/>
        <v>TFHCV3ODS-N</v>
      </c>
      <c r="E72" s="220" t="s">
        <v>1011</v>
      </c>
      <c r="F72" s="221"/>
      <c r="G72" s="221"/>
      <c r="H72" s="220" t="s">
        <v>505</v>
      </c>
      <c r="I72" s="220" t="s">
        <v>506</v>
      </c>
      <c r="J72" s="220" t="s">
        <v>923</v>
      </c>
    </row>
    <row r="73" spans="2:10" x14ac:dyDescent="0.25">
      <c r="B73" s="220" t="s">
        <v>1012</v>
      </c>
      <c r="C73" s="687">
        <v>1</v>
      </c>
      <c r="D73" s="710" t="str">
        <f t="shared" si="1"/>
        <v>TFHCV4ODS-N</v>
      </c>
      <c r="E73" s="220" t="s">
        <v>1013</v>
      </c>
      <c r="F73" s="221"/>
      <c r="G73" s="221"/>
      <c r="H73" s="220" t="s">
        <v>505</v>
      </c>
      <c r="I73" s="220" t="s">
        <v>506</v>
      </c>
      <c r="J73" s="220" t="s">
        <v>923</v>
      </c>
    </row>
    <row r="74" spans="2:10" x14ac:dyDescent="0.25">
      <c r="B74" s="220" t="s">
        <v>1014</v>
      </c>
      <c r="C74" s="687">
        <v>1</v>
      </c>
      <c r="D74" s="710" t="str">
        <f t="shared" si="1"/>
        <v>TFHCV5ODS-N</v>
      </c>
      <c r="E74" s="220" t="s">
        <v>1015</v>
      </c>
      <c r="F74" s="221"/>
      <c r="G74" s="221"/>
      <c r="H74" s="220" t="s">
        <v>505</v>
      </c>
      <c r="I74" s="220" t="s">
        <v>506</v>
      </c>
      <c r="J74" s="220" t="s">
        <v>923</v>
      </c>
    </row>
    <row r="75" spans="2:10" x14ac:dyDescent="0.25">
      <c r="B75" s="220" t="s">
        <v>1016</v>
      </c>
      <c r="C75" s="687">
        <v>1</v>
      </c>
      <c r="D75" s="710" t="str">
        <f t="shared" si="1"/>
        <v>TFHCV6ODS-N</v>
      </c>
      <c r="E75" s="220" t="s">
        <v>1017</v>
      </c>
      <c r="F75" s="221"/>
      <c r="G75" s="221"/>
      <c r="H75" s="220" t="s">
        <v>505</v>
      </c>
      <c r="I75" s="220" t="s">
        <v>506</v>
      </c>
      <c r="J75" s="220" t="s">
        <v>923</v>
      </c>
    </row>
    <row r="76" spans="2:10" x14ac:dyDescent="0.25">
      <c r="B76" s="220" t="s">
        <v>1018</v>
      </c>
      <c r="C76" s="687">
        <v>1</v>
      </c>
      <c r="D76" s="710" t="str">
        <f t="shared" si="1"/>
        <v>TFHCV7ODS-N</v>
      </c>
      <c r="E76" s="220" t="s">
        <v>1019</v>
      </c>
      <c r="F76" s="221"/>
      <c r="G76" s="221"/>
      <c r="H76" s="220" t="s">
        <v>505</v>
      </c>
      <c r="I76" s="220" t="s">
        <v>506</v>
      </c>
      <c r="J76" s="220" t="s">
        <v>923</v>
      </c>
    </row>
    <row r="77" spans="2:10" x14ac:dyDescent="0.25">
      <c r="B77" s="220" t="s">
        <v>1020</v>
      </c>
      <c r="C77" s="687">
        <v>1</v>
      </c>
      <c r="D77" s="710" t="str">
        <f t="shared" si="1"/>
        <v>TFHCV8ODS-N</v>
      </c>
      <c r="E77" s="220" t="s">
        <v>1021</v>
      </c>
      <c r="F77" s="221"/>
      <c r="G77" s="221"/>
      <c r="H77" s="220" t="s">
        <v>505</v>
      </c>
      <c r="I77" s="220" t="s">
        <v>506</v>
      </c>
      <c r="J77" s="220" t="s">
        <v>923</v>
      </c>
    </row>
    <row r="78" spans="2:10" x14ac:dyDescent="0.25">
      <c r="B78" s="220" t="s">
        <v>1022</v>
      </c>
      <c r="C78" s="687">
        <v>1</v>
      </c>
      <c r="D78" s="710" t="str">
        <f t="shared" si="1"/>
        <v>TFHCV9ODS-N</v>
      </c>
      <c r="E78" s="220" t="s">
        <v>1023</v>
      </c>
      <c r="F78" s="221"/>
      <c r="G78" s="221"/>
      <c r="H78" s="220" t="s">
        <v>505</v>
      </c>
      <c r="I78" s="220" t="s">
        <v>506</v>
      </c>
      <c r="J78" s="220" t="s">
        <v>923</v>
      </c>
    </row>
    <row r="79" spans="2:10" x14ac:dyDescent="0.25">
      <c r="B79" s="220" t="s">
        <v>1024</v>
      </c>
      <c r="C79" s="687">
        <v>0</v>
      </c>
      <c r="D79" s="710" t="str">
        <f t="shared" si="1"/>
        <v>*</v>
      </c>
      <c r="E79" s="220" t="s">
        <v>1025</v>
      </c>
      <c r="F79" s="221"/>
      <c r="G79" s="221"/>
      <c r="H79" s="220" t="s">
        <v>505</v>
      </c>
      <c r="I79" s="220" t="s">
        <v>506</v>
      </c>
      <c r="J79" s="220" t="s">
        <v>923</v>
      </c>
    </row>
    <row r="80" spans="2:10" x14ac:dyDescent="0.25">
      <c r="B80" s="220" t="s">
        <v>1026</v>
      </c>
      <c r="C80" s="687">
        <v>0</v>
      </c>
      <c r="D80" s="710" t="str">
        <f t="shared" si="1"/>
        <v>*</v>
      </c>
      <c r="E80" s="220" t="s">
        <v>1027</v>
      </c>
      <c r="F80" s="221"/>
      <c r="G80" s="221"/>
      <c r="H80" s="220" t="s">
        <v>505</v>
      </c>
      <c r="I80" s="220" t="s">
        <v>506</v>
      </c>
      <c r="J80" s="220" t="s">
        <v>923</v>
      </c>
    </row>
    <row r="81" spans="2:10" x14ac:dyDescent="0.25">
      <c r="B81" s="220" t="s">
        <v>1028</v>
      </c>
      <c r="C81" s="687">
        <v>0</v>
      </c>
      <c r="D81" s="710" t="str">
        <f t="shared" si="1"/>
        <v>*</v>
      </c>
      <c r="E81" s="220" t="s">
        <v>1029</v>
      </c>
      <c r="F81" s="221"/>
      <c r="G81" s="221"/>
      <c r="H81" s="220" t="s">
        <v>505</v>
      </c>
      <c r="I81" s="220" t="s">
        <v>506</v>
      </c>
      <c r="J81" s="220" t="s">
        <v>923</v>
      </c>
    </row>
    <row r="82" spans="2:10" x14ac:dyDescent="0.25">
      <c r="B82" s="220" t="s">
        <v>1030</v>
      </c>
      <c r="C82" s="687">
        <v>0</v>
      </c>
      <c r="D82" s="710" t="str">
        <f t="shared" si="1"/>
        <v>*</v>
      </c>
      <c r="E82" s="220" t="s">
        <v>1031</v>
      </c>
      <c r="F82" s="221"/>
      <c r="G82" s="221"/>
      <c r="H82" s="220" t="s">
        <v>505</v>
      </c>
      <c r="I82" s="220" t="s">
        <v>506</v>
      </c>
      <c r="J82" s="220" t="s">
        <v>923</v>
      </c>
    </row>
    <row r="83" spans="2:10" x14ac:dyDescent="0.25">
      <c r="B83" s="220" t="s">
        <v>1032</v>
      </c>
      <c r="C83" s="687">
        <v>0</v>
      </c>
      <c r="D83" s="710" t="str">
        <f t="shared" si="1"/>
        <v>*</v>
      </c>
      <c r="E83" s="220" t="s">
        <v>1033</v>
      </c>
      <c r="F83" s="221"/>
      <c r="G83" s="221"/>
      <c r="H83" s="220" t="s">
        <v>505</v>
      </c>
      <c r="I83" s="220" t="s">
        <v>506</v>
      </c>
      <c r="J83" s="220" t="s">
        <v>923</v>
      </c>
    </row>
    <row r="84" spans="2:10" x14ac:dyDescent="0.25">
      <c r="B84" s="220" t="s">
        <v>1034</v>
      </c>
      <c r="C84" s="687">
        <v>0</v>
      </c>
      <c r="D84" s="710" t="str">
        <f t="shared" si="1"/>
        <v>*</v>
      </c>
      <c r="E84" s="220" t="s">
        <v>1035</v>
      </c>
      <c r="F84" s="221"/>
      <c r="G84" s="221"/>
      <c r="H84" s="220" t="s">
        <v>505</v>
      </c>
      <c r="I84" s="220" t="s">
        <v>506</v>
      </c>
      <c r="J84" s="220" t="s">
        <v>923</v>
      </c>
    </row>
    <row r="85" spans="2:10" x14ac:dyDescent="0.25">
      <c r="B85" s="220" t="s">
        <v>1036</v>
      </c>
      <c r="C85" s="687">
        <v>0</v>
      </c>
      <c r="D85" s="710" t="str">
        <f t="shared" si="1"/>
        <v>*</v>
      </c>
      <c r="E85" s="220" t="s">
        <v>1037</v>
      </c>
      <c r="F85" s="221"/>
      <c r="G85" s="221"/>
      <c r="H85" s="220" t="s">
        <v>505</v>
      </c>
      <c r="I85" s="220" t="s">
        <v>506</v>
      </c>
      <c r="J85" s="220" t="s">
        <v>923</v>
      </c>
    </row>
    <row r="86" spans="2:10" x14ac:dyDescent="0.25">
      <c r="B86" s="398" t="s">
        <v>1038</v>
      </c>
      <c r="C86" s="687">
        <v>0</v>
      </c>
      <c r="D86" s="710" t="str">
        <f t="shared" si="1"/>
        <v>*</v>
      </c>
      <c r="E86" s="220" t="s">
        <v>1039</v>
      </c>
      <c r="F86" s="221"/>
      <c r="G86" s="221"/>
      <c r="H86" s="220" t="s">
        <v>505</v>
      </c>
      <c r="I86" s="220" t="s">
        <v>506</v>
      </c>
      <c r="J86" s="220" t="s">
        <v>923</v>
      </c>
    </row>
    <row r="87" spans="2:10" x14ac:dyDescent="0.25">
      <c r="B87" s="220" t="s">
        <v>1040</v>
      </c>
      <c r="C87" s="687">
        <v>0</v>
      </c>
      <c r="D87" s="710" t="str">
        <f t="shared" si="1"/>
        <v>*</v>
      </c>
      <c r="E87" s="220" t="s">
        <v>1041</v>
      </c>
      <c r="F87" s="221"/>
      <c r="G87" s="221"/>
      <c r="H87" s="220" t="s">
        <v>505</v>
      </c>
      <c r="I87" s="220" t="s">
        <v>506</v>
      </c>
      <c r="J87" s="220" t="s">
        <v>923</v>
      </c>
    </row>
    <row r="88" spans="2:10" x14ac:dyDescent="0.25">
      <c r="B88" s="220" t="s">
        <v>1042</v>
      </c>
      <c r="C88" s="687">
        <v>1</v>
      </c>
      <c r="D88" s="710" t="str">
        <f t="shared" si="1"/>
        <v>TFHCV1ELC-N</v>
      </c>
      <c r="E88" s="220" t="s">
        <v>1043</v>
      </c>
      <c r="F88" s="221"/>
      <c r="G88" s="221"/>
      <c r="H88" s="220" t="s">
        <v>505</v>
      </c>
      <c r="I88" s="220" t="s">
        <v>506</v>
      </c>
      <c r="J88" s="220" t="s">
        <v>923</v>
      </c>
    </row>
    <row r="89" spans="2:10" x14ac:dyDescent="0.25">
      <c r="B89" s="220" t="s">
        <v>1044</v>
      </c>
      <c r="C89" s="687">
        <v>1</v>
      </c>
      <c r="D89" s="710" t="str">
        <f t="shared" si="1"/>
        <v>TFHCV2ELC-N</v>
      </c>
      <c r="E89" s="220" t="s">
        <v>1045</v>
      </c>
      <c r="F89" s="221"/>
      <c r="G89" s="221"/>
      <c r="H89" s="220" t="s">
        <v>505</v>
      </c>
      <c r="I89" s="220" t="s">
        <v>506</v>
      </c>
      <c r="J89" s="220" t="s">
        <v>923</v>
      </c>
    </row>
    <row r="90" spans="2:10" x14ac:dyDescent="0.25">
      <c r="B90" s="220" t="s">
        <v>1046</v>
      </c>
      <c r="C90" s="687">
        <v>1</v>
      </c>
      <c r="D90" s="710" t="str">
        <f t="shared" si="1"/>
        <v>TFHCV3ELC-N</v>
      </c>
      <c r="E90" s="220" t="s">
        <v>1047</v>
      </c>
      <c r="F90" s="221"/>
      <c r="G90" s="221"/>
      <c r="H90" s="220" t="s">
        <v>505</v>
      </c>
      <c r="I90" s="220" t="s">
        <v>506</v>
      </c>
      <c r="J90" s="220" t="s">
        <v>923</v>
      </c>
    </row>
    <row r="91" spans="2:10" x14ac:dyDescent="0.25">
      <c r="B91" s="220" t="s">
        <v>1048</v>
      </c>
      <c r="C91" s="687">
        <v>1</v>
      </c>
      <c r="D91" s="710" t="str">
        <f t="shared" si="1"/>
        <v>TFHCV4ELC-N</v>
      </c>
      <c r="E91" s="220" t="s">
        <v>1049</v>
      </c>
      <c r="F91" s="221"/>
      <c r="G91" s="221"/>
      <c r="H91" s="220" t="s">
        <v>505</v>
      </c>
      <c r="I91" s="220" t="s">
        <v>506</v>
      </c>
      <c r="J91" s="220" t="s">
        <v>923</v>
      </c>
    </row>
    <row r="92" spans="2:10" x14ac:dyDescent="0.25">
      <c r="B92" s="220" t="s">
        <v>1050</v>
      </c>
      <c r="C92" s="687">
        <v>1</v>
      </c>
      <c r="D92" s="710" t="str">
        <f t="shared" si="1"/>
        <v>TFHCV5ELC-N</v>
      </c>
      <c r="E92" s="220" t="s">
        <v>1051</v>
      </c>
      <c r="F92" s="221"/>
      <c r="G92" s="221"/>
      <c r="H92" s="220" t="s">
        <v>505</v>
      </c>
      <c r="I92" s="220" t="s">
        <v>506</v>
      </c>
      <c r="J92" s="220" t="s">
        <v>923</v>
      </c>
    </row>
    <row r="93" spans="2:10" x14ac:dyDescent="0.25">
      <c r="B93" s="220" t="s">
        <v>1052</v>
      </c>
      <c r="C93" s="687">
        <v>1</v>
      </c>
      <c r="D93" s="710" t="str">
        <f t="shared" si="1"/>
        <v>TFHCV6ELC-N</v>
      </c>
      <c r="E93" s="220" t="s">
        <v>1053</v>
      </c>
      <c r="F93" s="221"/>
      <c r="G93" s="221"/>
      <c r="H93" s="220" t="s">
        <v>505</v>
      </c>
      <c r="I93" s="220" t="s">
        <v>506</v>
      </c>
      <c r="J93" s="220" t="s">
        <v>923</v>
      </c>
    </row>
    <row r="94" spans="2:10" x14ac:dyDescent="0.25">
      <c r="B94" s="220" t="s">
        <v>1054</v>
      </c>
      <c r="C94" s="687">
        <v>1</v>
      </c>
      <c r="D94" s="710" t="str">
        <f t="shared" si="1"/>
        <v>TFHCV7ELC-N</v>
      </c>
      <c r="E94" s="220" t="s">
        <v>1055</v>
      </c>
      <c r="F94" s="221"/>
      <c r="G94" s="221"/>
      <c r="H94" s="220" t="s">
        <v>505</v>
      </c>
      <c r="I94" s="220" t="s">
        <v>506</v>
      </c>
      <c r="J94" s="220" t="s">
        <v>923</v>
      </c>
    </row>
    <row r="95" spans="2:10" x14ac:dyDescent="0.25">
      <c r="B95" s="220" t="s">
        <v>1056</v>
      </c>
      <c r="C95" s="687">
        <v>1</v>
      </c>
      <c r="D95" s="710" t="str">
        <f t="shared" si="1"/>
        <v>TFHCV8ELC-N</v>
      </c>
      <c r="E95" s="220" t="s">
        <v>1057</v>
      </c>
      <c r="F95" s="221"/>
      <c r="G95" s="221"/>
      <c r="H95" s="220" t="s">
        <v>505</v>
      </c>
      <c r="I95" s="220" t="s">
        <v>506</v>
      </c>
      <c r="J95" s="220" t="s">
        <v>923</v>
      </c>
    </row>
    <row r="96" spans="2:10" x14ac:dyDescent="0.25">
      <c r="B96" s="220" t="s">
        <v>1058</v>
      </c>
      <c r="C96" s="687">
        <v>1</v>
      </c>
      <c r="D96" s="710" t="str">
        <f t="shared" si="1"/>
        <v>TFHCV9ELC-N</v>
      </c>
      <c r="E96" s="220" t="s">
        <v>1059</v>
      </c>
      <c r="F96" s="221"/>
      <c r="G96" s="221"/>
      <c r="H96" s="220" t="s">
        <v>505</v>
      </c>
      <c r="I96" s="220" t="s">
        <v>506</v>
      </c>
      <c r="J96" s="220" t="s">
        <v>923</v>
      </c>
    </row>
    <row r="97" spans="2:10" x14ac:dyDescent="0.25">
      <c r="B97" s="220" t="s">
        <v>1060</v>
      </c>
      <c r="C97" s="687">
        <v>1</v>
      </c>
      <c r="D97" s="710" t="str">
        <f t="shared" si="1"/>
        <v>TFHCV2HGN-N</v>
      </c>
      <c r="E97" s="220" t="s">
        <v>1061</v>
      </c>
      <c r="F97" s="221"/>
      <c r="G97" s="221"/>
      <c r="H97" s="220" t="s">
        <v>505</v>
      </c>
      <c r="I97" s="220" t="s">
        <v>506</v>
      </c>
      <c r="J97" s="220" t="s">
        <v>923</v>
      </c>
    </row>
    <row r="98" spans="2:10" x14ac:dyDescent="0.25">
      <c r="B98" s="220" t="s">
        <v>1062</v>
      </c>
      <c r="C98" s="687">
        <v>1</v>
      </c>
      <c r="D98" s="710" t="str">
        <f t="shared" si="1"/>
        <v>TFHCV3HGN-N</v>
      </c>
      <c r="E98" s="220" t="s">
        <v>1063</v>
      </c>
      <c r="F98" s="221"/>
      <c r="G98" s="221"/>
      <c r="H98" s="220" t="s">
        <v>505</v>
      </c>
      <c r="I98" s="220" t="s">
        <v>506</v>
      </c>
      <c r="J98" s="220" t="s">
        <v>923</v>
      </c>
    </row>
    <row r="99" spans="2:10" x14ac:dyDescent="0.25">
      <c r="B99" s="220" t="s">
        <v>1064</v>
      </c>
      <c r="C99" s="687">
        <v>1</v>
      </c>
      <c r="D99" s="710" t="str">
        <f t="shared" si="1"/>
        <v>TFHCV4HGN-N</v>
      </c>
      <c r="E99" s="220" t="s">
        <v>1065</v>
      </c>
      <c r="F99" s="221"/>
      <c r="G99" s="221"/>
      <c r="H99" s="220" t="s">
        <v>505</v>
      </c>
      <c r="I99" s="220" t="s">
        <v>506</v>
      </c>
      <c r="J99" s="220" t="s">
        <v>923</v>
      </c>
    </row>
    <row r="100" spans="2:10" x14ac:dyDescent="0.25">
      <c r="B100" s="220" t="s">
        <v>1066</v>
      </c>
      <c r="C100" s="687">
        <v>1</v>
      </c>
      <c r="D100" s="710" t="str">
        <f t="shared" si="1"/>
        <v>TFHCV5HGN-N</v>
      </c>
      <c r="E100" s="220" t="s">
        <v>1067</v>
      </c>
      <c r="F100" s="221"/>
      <c r="G100" s="221"/>
      <c r="H100" s="220" t="s">
        <v>505</v>
      </c>
      <c r="I100" s="220" t="s">
        <v>506</v>
      </c>
      <c r="J100" s="220" t="s">
        <v>923</v>
      </c>
    </row>
    <row r="101" spans="2:10" x14ac:dyDescent="0.25">
      <c r="B101" s="220" t="s">
        <v>1068</v>
      </c>
      <c r="C101" s="687">
        <v>1</v>
      </c>
      <c r="D101" s="710" t="str">
        <f t="shared" si="1"/>
        <v>TFHCV6HGN-N</v>
      </c>
      <c r="E101" s="220" t="s">
        <v>1069</v>
      </c>
      <c r="F101" s="221"/>
      <c r="G101" s="221"/>
      <c r="H101" s="220" t="s">
        <v>505</v>
      </c>
      <c r="I101" s="220" t="s">
        <v>506</v>
      </c>
      <c r="J101" s="220" t="s">
        <v>923</v>
      </c>
    </row>
    <row r="102" spans="2:10" x14ac:dyDescent="0.25">
      <c r="B102" s="220" t="s">
        <v>1070</v>
      </c>
      <c r="C102" s="687">
        <v>1</v>
      </c>
      <c r="D102" s="710" t="str">
        <f t="shared" si="1"/>
        <v>TFHCV7HGN-N</v>
      </c>
      <c r="E102" s="220" t="s">
        <v>1071</v>
      </c>
      <c r="F102" s="221"/>
      <c r="G102" s="221"/>
      <c r="H102" s="220" t="s">
        <v>505</v>
      </c>
      <c r="I102" s="220" t="s">
        <v>506</v>
      </c>
      <c r="J102" s="220" t="s">
        <v>923</v>
      </c>
    </row>
    <row r="103" spans="2:10" x14ac:dyDescent="0.25">
      <c r="B103" s="220" t="s">
        <v>1072</v>
      </c>
      <c r="C103" s="687">
        <v>1</v>
      </c>
      <c r="D103" s="710" t="str">
        <f t="shared" si="1"/>
        <v>TFHCV8HGN-N</v>
      </c>
      <c r="E103" s="220" t="s">
        <v>1073</v>
      </c>
      <c r="F103" s="221"/>
      <c r="G103" s="221"/>
      <c r="H103" s="220" t="s">
        <v>505</v>
      </c>
      <c r="I103" s="220" t="s">
        <v>506</v>
      </c>
      <c r="J103" s="220" t="s">
        <v>923</v>
      </c>
    </row>
    <row r="104" spans="2:10" x14ac:dyDescent="0.25">
      <c r="B104" s="220" t="s">
        <v>1074</v>
      </c>
      <c r="C104" s="687">
        <v>1</v>
      </c>
      <c r="D104" s="710" t="str">
        <f t="shared" si="1"/>
        <v>TFHCV9HGN-N</v>
      </c>
      <c r="E104" s="220" t="s">
        <v>1075</v>
      </c>
      <c r="F104" s="221"/>
      <c r="G104" s="221"/>
      <c r="H104" s="220" t="s">
        <v>505</v>
      </c>
      <c r="I104" s="220" t="s">
        <v>506</v>
      </c>
      <c r="J104" s="220" t="s">
        <v>923</v>
      </c>
    </row>
    <row r="105" spans="2:10" x14ac:dyDescent="0.25">
      <c r="B105" s="220"/>
      <c r="C105" s="687"/>
      <c r="D105" s="710" t="str">
        <f t="shared" si="1"/>
        <v>*</v>
      </c>
      <c r="E105" s="220" t="s">
        <v>504</v>
      </c>
      <c r="F105" s="221"/>
      <c r="G105" s="221"/>
      <c r="H105" s="220"/>
      <c r="I105" s="220"/>
      <c r="J105" s="220"/>
    </row>
    <row r="106" spans="2:10" x14ac:dyDescent="0.25">
      <c r="B106" s="227" t="s">
        <v>849</v>
      </c>
      <c r="C106" s="687"/>
      <c r="D106" s="710" t="str">
        <f t="shared" si="1"/>
        <v>*</v>
      </c>
      <c r="E106" s="227" t="s">
        <v>849</v>
      </c>
      <c r="F106" s="221"/>
      <c r="G106" s="221"/>
      <c r="H106" s="220"/>
      <c r="I106" s="220"/>
      <c r="J106" s="220"/>
    </row>
    <row r="107" spans="2:10" x14ac:dyDescent="0.25">
      <c r="B107" s="220" t="s">
        <v>1076</v>
      </c>
      <c r="C107" s="687">
        <v>0</v>
      </c>
      <c r="D107" s="710" t="str">
        <f t="shared" si="1"/>
        <v>*</v>
      </c>
      <c r="E107" s="220" t="s">
        <v>1077</v>
      </c>
      <c r="F107" s="221" t="s">
        <v>825</v>
      </c>
      <c r="G107" s="221" t="s">
        <v>826</v>
      </c>
      <c r="H107" s="220" t="s">
        <v>505</v>
      </c>
      <c r="I107" s="220" t="s">
        <v>506</v>
      </c>
      <c r="J107" s="220"/>
    </row>
    <row r="108" spans="2:10" x14ac:dyDescent="0.25">
      <c r="B108" s="220" t="s">
        <v>1078</v>
      </c>
      <c r="C108" s="687">
        <v>1</v>
      </c>
      <c r="D108" s="710" t="str">
        <f t="shared" si="1"/>
        <v>TFRCOELC-N</v>
      </c>
      <c r="E108" s="220" t="s">
        <v>1079</v>
      </c>
      <c r="F108" s="221" t="s">
        <v>825</v>
      </c>
      <c r="G108" s="221" t="s">
        <v>826</v>
      </c>
      <c r="H108" s="220" t="s">
        <v>505</v>
      </c>
      <c r="I108" s="220" t="s">
        <v>506</v>
      </c>
      <c r="J108" s="220"/>
    </row>
    <row r="109" spans="2:10" x14ac:dyDescent="0.25">
      <c r="B109" s="220" t="s">
        <v>1080</v>
      </c>
      <c r="C109" s="687">
        <v>1</v>
      </c>
      <c r="D109" s="710" t="str">
        <f t="shared" si="1"/>
        <v>TFROTELC-N</v>
      </c>
      <c r="E109" s="220" t="s">
        <v>1081</v>
      </c>
      <c r="F109" s="221" t="s">
        <v>825</v>
      </c>
      <c r="G109" s="221" t="s">
        <v>826</v>
      </c>
      <c r="H109" s="220" t="s">
        <v>505</v>
      </c>
      <c r="I109" s="220" t="s">
        <v>506</v>
      </c>
      <c r="J109" s="220"/>
    </row>
    <row r="110" spans="2:10" x14ac:dyDescent="0.25">
      <c r="B110" s="220" t="s">
        <v>1082</v>
      </c>
      <c r="C110" s="687">
        <v>1</v>
      </c>
      <c r="D110" s="710" t="str">
        <f t="shared" si="1"/>
        <v>TFREXELC-N</v>
      </c>
      <c r="E110" s="220" t="s">
        <v>1083</v>
      </c>
      <c r="F110" s="221" t="s">
        <v>825</v>
      </c>
      <c r="G110" s="221" t="s">
        <v>826</v>
      </c>
      <c r="H110" s="220" t="s">
        <v>505</v>
      </c>
      <c r="I110" s="220" t="s">
        <v>506</v>
      </c>
      <c r="J110" s="220"/>
    </row>
    <row r="111" spans="2:10" x14ac:dyDescent="0.25">
      <c r="B111" s="220"/>
      <c r="C111" s="687"/>
      <c r="D111" s="710" t="str">
        <f t="shared" si="1"/>
        <v>*</v>
      </c>
      <c r="E111" s="220"/>
      <c r="F111" s="221"/>
      <c r="G111" s="221"/>
      <c r="H111" s="220"/>
      <c r="I111" s="220"/>
      <c r="J111" s="220"/>
    </row>
    <row r="112" spans="2:10" x14ac:dyDescent="0.25">
      <c r="B112" s="220"/>
      <c r="C112" s="687"/>
      <c r="D112" s="710" t="str">
        <f t="shared" si="1"/>
        <v>*</v>
      </c>
      <c r="E112" s="220"/>
      <c r="F112" s="221"/>
      <c r="G112" s="221"/>
      <c r="H112" s="220"/>
      <c r="I112" s="220"/>
      <c r="J112" s="220"/>
    </row>
    <row r="113" spans="2:10" x14ac:dyDescent="0.25">
      <c r="B113" s="220"/>
      <c r="C113" s="687"/>
      <c r="D113" s="710" t="str">
        <f t="shared" si="1"/>
        <v>*</v>
      </c>
      <c r="E113" s="220"/>
      <c r="F113" s="221"/>
      <c r="G113" s="221"/>
      <c r="H113" s="220"/>
      <c r="I113" s="220"/>
      <c r="J113" s="220"/>
    </row>
    <row r="114" spans="2:10" x14ac:dyDescent="0.25">
      <c r="B114" s="220"/>
      <c r="C114" s="687"/>
      <c r="D114" s="710" t="str">
        <f t="shared" si="1"/>
        <v>*</v>
      </c>
      <c r="E114" s="220"/>
      <c r="F114" s="221"/>
      <c r="G114" s="221"/>
      <c r="H114" s="220"/>
      <c r="I114" s="220"/>
      <c r="J114" s="220"/>
    </row>
    <row r="115" spans="2:10" x14ac:dyDescent="0.25">
      <c r="B115" s="227" t="s">
        <v>850</v>
      </c>
      <c r="C115" s="687"/>
      <c r="D115" s="710" t="str">
        <f t="shared" si="1"/>
        <v>*</v>
      </c>
      <c r="E115" s="227" t="s">
        <v>850</v>
      </c>
      <c r="F115" s="221"/>
      <c r="G115" s="221"/>
      <c r="H115" s="220"/>
      <c r="I115" s="220"/>
      <c r="J115" s="220"/>
    </row>
    <row r="116" spans="2:10" x14ac:dyDescent="0.25">
      <c r="B116" s="220" t="s">
        <v>1084</v>
      </c>
      <c r="C116" s="687">
        <v>1</v>
      </c>
      <c r="D116" s="710" t="str">
        <f t="shared" si="1"/>
        <v>TFPIPELC-N</v>
      </c>
      <c r="E116" s="220" t="s">
        <v>1085</v>
      </c>
      <c r="F116" s="221" t="s">
        <v>178</v>
      </c>
      <c r="G116" s="221" t="s">
        <v>839</v>
      </c>
      <c r="H116" s="220" t="s">
        <v>505</v>
      </c>
      <c r="I116" s="220" t="s">
        <v>506</v>
      </c>
      <c r="J116" s="220"/>
    </row>
    <row r="117" spans="2:10" x14ac:dyDescent="0.25">
      <c r="B117" s="220" t="s">
        <v>1086</v>
      </c>
      <c r="C117" s="687">
        <v>1</v>
      </c>
      <c r="D117" s="710" t="str">
        <f t="shared" si="1"/>
        <v>TAIJETOKE-N</v>
      </c>
      <c r="E117" s="220" t="s">
        <v>1087</v>
      </c>
      <c r="F117" s="221" t="s">
        <v>178</v>
      </c>
      <c r="G117" s="221" t="s">
        <v>839</v>
      </c>
      <c r="H117" s="220" t="s">
        <v>505</v>
      </c>
      <c r="I117" s="220" t="s">
        <v>506</v>
      </c>
      <c r="J117" s="220"/>
    </row>
    <row r="118" spans="2:10" x14ac:dyDescent="0.25">
      <c r="B118" s="220" t="s">
        <v>1088</v>
      </c>
      <c r="C118" s="687">
        <v>1</v>
      </c>
      <c r="D118" s="710" t="str">
        <f t="shared" si="1"/>
        <v>TADJETOKE-N</v>
      </c>
      <c r="E118" s="220" t="s">
        <v>1089</v>
      </c>
      <c r="F118" s="221" t="s">
        <v>178</v>
      </c>
      <c r="G118" s="221" t="s">
        <v>839</v>
      </c>
      <c r="H118" s="220" t="s">
        <v>505</v>
      </c>
      <c r="I118" s="220" t="s">
        <v>506</v>
      </c>
      <c r="J118" s="220"/>
    </row>
    <row r="119" spans="2:10" x14ac:dyDescent="0.25">
      <c r="B119" s="220" t="s">
        <v>1090</v>
      </c>
      <c r="C119" s="687">
        <v>1</v>
      </c>
      <c r="D119" s="710" t="str">
        <f t="shared" si="1"/>
        <v>TAOAGOAG-N</v>
      </c>
      <c r="E119" s="220" t="s">
        <v>1091</v>
      </c>
      <c r="F119" s="221" t="s">
        <v>178</v>
      </c>
      <c r="G119" s="221" t="s">
        <v>839</v>
      </c>
      <c r="H119" s="220" t="s">
        <v>505</v>
      </c>
      <c r="I119" s="220" t="s">
        <v>506</v>
      </c>
      <c r="J119" s="220"/>
    </row>
    <row r="120" spans="2:10" x14ac:dyDescent="0.25">
      <c r="B120" s="220" t="s">
        <v>1092</v>
      </c>
      <c r="C120" s="687">
        <v>1</v>
      </c>
      <c r="D120" s="710" t="str">
        <f t="shared" si="1"/>
        <v>TSHFOOHF-N</v>
      </c>
      <c r="E120" s="220" t="s">
        <v>1093</v>
      </c>
      <c r="F120" s="221" t="s">
        <v>178</v>
      </c>
      <c r="G120" s="221" t="s">
        <v>839</v>
      </c>
      <c r="H120" s="220" t="s">
        <v>505</v>
      </c>
      <c r="I120" s="220" t="s">
        <v>506</v>
      </c>
      <c r="J120" s="220"/>
    </row>
    <row r="121" spans="2:10" x14ac:dyDescent="0.25">
      <c r="B121" s="220"/>
      <c r="C121" s="687"/>
      <c r="D121" s="710" t="str">
        <f t="shared" si="1"/>
        <v>*</v>
      </c>
      <c r="E121" s="220"/>
      <c r="F121" s="221"/>
      <c r="G121" s="221"/>
      <c r="H121" s="220"/>
      <c r="I121" s="220"/>
      <c r="J121" s="220"/>
    </row>
    <row r="122" spans="2:10" x14ac:dyDescent="0.25">
      <c r="B122" s="220"/>
      <c r="C122" s="687"/>
      <c r="D122" s="710" t="str">
        <f t="shared" si="1"/>
        <v>*</v>
      </c>
      <c r="E122" s="220"/>
      <c r="F122" s="221"/>
      <c r="G122" s="221"/>
      <c r="H122" s="220"/>
      <c r="I122" s="220"/>
      <c r="J122" s="220"/>
    </row>
  </sheetData>
  <pageMargins left="0.7" right="0.7" top="0.75" bottom="0.75" header="0.3" footer="0.3"/>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0E959F-180A-4B08-96FA-36841AD24360}">
  <sheetPr>
    <tabColor rgb="FF00B0F0"/>
  </sheetPr>
  <dimension ref="B1:AD122"/>
  <sheetViews>
    <sheetView workbookViewId="0">
      <selection activeCell="B6" sqref="B6:B122"/>
    </sheetView>
  </sheetViews>
  <sheetFormatPr defaultRowHeight="15" x14ac:dyDescent="0.25"/>
  <cols>
    <col min="1" max="1" width="3.42578125" customWidth="1"/>
    <col min="2" max="2" width="16.85546875" style="382" customWidth="1"/>
    <col min="3" max="3" width="54.5703125" style="218" customWidth="1"/>
    <col min="4" max="9" width="10.5703125" style="218" customWidth="1"/>
    <col min="10" max="10" width="14.42578125" style="218" customWidth="1"/>
    <col min="11" max="14" width="10.42578125" style="218" customWidth="1"/>
    <col min="15" max="15" width="10.5703125" style="218" customWidth="1"/>
    <col min="16" max="26" width="9.85546875" style="218" customWidth="1"/>
    <col min="27" max="28" width="10.5703125" style="218" customWidth="1"/>
    <col min="29" max="29" width="10.42578125" customWidth="1"/>
  </cols>
  <sheetData>
    <row r="1" spans="2:30" ht="20.25" thickBot="1" x14ac:dyDescent="0.35">
      <c r="B1" s="217" t="s">
        <v>1101</v>
      </c>
      <c r="AB1" s="692" t="s">
        <v>1258</v>
      </c>
      <c r="AC1" s="693">
        <v>1</v>
      </c>
      <c r="AD1" s="693">
        <v>2018</v>
      </c>
    </row>
    <row r="2" spans="2:30" ht="15.75" thickTop="1" x14ac:dyDescent="0.25">
      <c r="AB2" s="695" t="s">
        <v>1260</v>
      </c>
      <c r="AC2" s="693">
        <v>2</v>
      </c>
      <c r="AD2" s="693">
        <v>2025</v>
      </c>
    </row>
    <row r="3" spans="2:30" ht="18" thickBot="1" x14ac:dyDescent="0.35">
      <c r="E3" s="383" t="s">
        <v>546</v>
      </c>
      <c r="AB3" s="695" t="s">
        <v>1259</v>
      </c>
      <c r="AC3" s="693">
        <v>3</v>
      </c>
      <c r="AD3" s="693">
        <v>2080</v>
      </c>
    </row>
    <row r="4" spans="2:30" ht="31.5" thickTop="1" thickBot="1" x14ac:dyDescent="0.3">
      <c r="B4" s="339" t="s">
        <v>1</v>
      </c>
      <c r="C4" s="339" t="s">
        <v>2</v>
      </c>
      <c r="D4" s="339" t="s">
        <v>527</v>
      </c>
      <c r="E4" s="339" t="s">
        <v>528</v>
      </c>
      <c r="F4" s="375" t="s">
        <v>530</v>
      </c>
      <c r="G4" s="375" t="s">
        <v>531</v>
      </c>
      <c r="H4" s="375" t="s">
        <v>532</v>
      </c>
      <c r="I4" s="375" t="s">
        <v>533</v>
      </c>
      <c r="J4" s="378" t="s">
        <v>534</v>
      </c>
      <c r="K4" s="378" t="s">
        <v>535</v>
      </c>
      <c r="L4" s="378" t="s">
        <v>536</v>
      </c>
      <c r="M4" s="378" t="s">
        <v>537</v>
      </c>
      <c r="N4" s="378" t="s">
        <v>538</v>
      </c>
      <c r="O4" s="378" t="s">
        <v>202</v>
      </c>
      <c r="P4" s="375" t="s">
        <v>1247</v>
      </c>
      <c r="Q4" s="375" t="s">
        <v>1242</v>
      </c>
      <c r="R4" s="375" t="s">
        <v>1243</v>
      </c>
      <c r="S4" s="375" t="s">
        <v>1244</v>
      </c>
      <c r="T4" s="375" t="s">
        <v>1245</v>
      </c>
      <c r="U4" s="375" t="s">
        <v>1248</v>
      </c>
      <c r="V4" s="375" t="s">
        <v>1246</v>
      </c>
      <c r="W4" s="378" t="s">
        <v>1250</v>
      </c>
      <c r="X4" s="378" t="s">
        <v>1251</v>
      </c>
      <c r="Y4" s="378" t="s">
        <v>1252</v>
      </c>
      <c r="Z4" s="378" t="s">
        <v>1253</v>
      </c>
      <c r="AA4" s="339" t="s">
        <v>1254</v>
      </c>
      <c r="AB4" s="339" t="s">
        <v>1255</v>
      </c>
      <c r="AC4" s="378" t="s">
        <v>1256</v>
      </c>
      <c r="AD4" s="691" t="s">
        <v>1257</v>
      </c>
    </row>
    <row r="5" spans="2:30" x14ac:dyDescent="0.25">
      <c r="B5" s="384" t="s">
        <v>503</v>
      </c>
      <c r="C5" s="224"/>
      <c r="D5" s="224" t="s">
        <v>1173</v>
      </c>
      <c r="E5" s="224" t="s">
        <v>1174</v>
      </c>
      <c r="F5" s="224">
        <v>2020</v>
      </c>
      <c r="G5" s="224">
        <v>2030</v>
      </c>
      <c r="H5" s="224">
        <v>2040</v>
      </c>
      <c r="I5" s="224">
        <v>2050</v>
      </c>
      <c r="J5" s="224">
        <v>2012</v>
      </c>
      <c r="K5" s="224">
        <v>2020</v>
      </c>
      <c r="L5" s="224">
        <v>2030</v>
      </c>
      <c r="M5" s="224">
        <v>2040</v>
      </c>
      <c r="N5" s="224">
        <v>2050</v>
      </c>
      <c r="O5" s="224" t="s">
        <v>232</v>
      </c>
      <c r="P5" s="224">
        <v>2020</v>
      </c>
      <c r="Q5" s="224">
        <v>2025</v>
      </c>
      <c r="R5" s="224">
        <v>2030</v>
      </c>
      <c r="S5" s="224">
        <v>2035</v>
      </c>
      <c r="T5" s="224">
        <v>2040</v>
      </c>
      <c r="U5" s="224">
        <v>2045</v>
      </c>
      <c r="V5" s="224">
        <v>2050</v>
      </c>
      <c r="W5" s="224">
        <v>2020</v>
      </c>
      <c r="X5" s="224">
        <v>2030</v>
      </c>
      <c r="Y5" s="224">
        <v>2040</v>
      </c>
      <c r="Z5" s="224">
        <v>2050</v>
      </c>
      <c r="AA5" s="224"/>
      <c r="AB5" s="224"/>
      <c r="AC5" s="224"/>
      <c r="AD5" s="690"/>
    </row>
    <row r="6" spans="2:30" ht="30" x14ac:dyDescent="0.25">
      <c r="B6" s="385" t="str">
        <f>IF(ITEMS_Tech_N!D6="","",ITEMS_Tech_N!D6)</f>
        <v>*</v>
      </c>
      <c r="C6" s="232" t="str">
        <f>IF(ITEMS_Tech_N!E6="","",ITEMS_Tech_N!E6)</f>
        <v>Private SUVS</v>
      </c>
      <c r="D6" s="374"/>
      <c r="E6" s="374"/>
      <c r="F6" s="376" t="s">
        <v>227</v>
      </c>
      <c r="G6" s="376">
        <f>IFERROR(INDEX('EFF-E_ANTC'!$C$4:$H$47,MATCH($B6,'EFF-E_ANTC'!$A$4:$A$47,0),MATCH(G$5,'EFF-E_ANTC'!$C$3:$H$3,0)),"")</f>
        <v>6.5227894002483106E-2</v>
      </c>
      <c r="H6" s="376">
        <f>IFERROR(INDEX('EFF-E_ANTC'!$C$4:$H$47,MATCH($B6,'EFF-E_ANTC'!$A$4:$A$47,0),MATCH(H$5,'EFF-E_ANTC'!$C$3:$H$3,0)),"")</f>
        <v>6.6011283101863896E-2</v>
      </c>
      <c r="I6" s="376">
        <f>IFERROR(INDEX('EFF-E_ANTC'!$C$4:$H$47,MATCH($B6,'EFF-E_ANTC'!$A$4:$A$47,0),MATCH(I$5,'EFF-E_ANTC'!$C$3:$H$3,0)),"")</f>
        <v>6.6777008175099004E-2</v>
      </c>
      <c r="J6" s="379"/>
      <c r="K6" s="379">
        <f>IFERROR(INDEX('AFA-E_ANTC'!$J$5:$O$48,MATCH($B6,'AFA-E_ANTC'!$A$5:$A$48,0),MATCH(K$5,'AFA-E_ANTC'!$J$3:$O$3,0)),"")</f>
        <v>0.33706878442068333</v>
      </c>
      <c r="L6" s="379">
        <f>IFERROR(INDEX('AFA-E_ANTC'!$J$5:$O$48,MATCH($B6,'AFA-E_ANTC'!$A$5:$A$48,0),MATCH(L$5,'AFA-E_ANTC'!$J$3:$O$3,0)),"")</f>
        <v>0.15171434294469499</v>
      </c>
      <c r="M6" s="379">
        <f>IFERROR(INDEX('AFA-E_ANTC'!$J$5:$O$48,MATCH($B6,'AFA-E_ANTC'!$A$5:$A$48,0),MATCH(M$5,'AFA-E_ANTC'!$J$3:$O$3,0)),"")</f>
        <v>6.6477490540613332E-2</v>
      </c>
      <c r="N6" s="379">
        <f>IFERROR(INDEX('AFA-E_ANTC'!$J$5:$O$48,MATCH($B6,'AFA-E_ANTC'!$A$5:$A$48,0),MATCH(N$5,'AFA-E_ANTC'!$J$3:$O$3,0)),"")</f>
        <v>2.8637041139474666E-2</v>
      </c>
      <c r="O6" s="379" t="s">
        <v>807</v>
      </c>
      <c r="P6" s="380" t="s">
        <v>1249</v>
      </c>
      <c r="Q6" s="381"/>
      <c r="R6" s="381"/>
      <c r="S6" s="381"/>
      <c r="T6" s="381"/>
      <c r="U6" s="381"/>
      <c r="V6" s="381"/>
      <c r="W6" s="379"/>
      <c r="X6" s="379"/>
      <c r="Y6" s="379"/>
      <c r="Z6" s="379"/>
      <c r="AA6" s="686"/>
      <c r="AB6" s="686"/>
      <c r="AC6" s="730" t="s">
        <v>1326</v>
      </c>
      <c r="AD6" s="689"/>
    </row>
    <row r="7" spans="2:30" x14ac:dyDescent="0.25">
      <c r="B7" s="385" t="str">
        <f>IF(ITEMS_Tech_N!D7="","",ITEMS_Tech_N!D7)</f>
        <v>TPPRSUVODS-N</v>
      </c>
      <c r="C7" s="232" t="str">
        <f>IF(ITEMS_Tech_N!E7="","",ITEMS_Tech_N!E7)</f>
        <v>Transport Passenger SUV Priv.Veh. Oil Diesel-N</v>
      </c>
      <c r="D7" s="219" t="s">
        <v>411</v>
      </c>
      <c r="E7" s="219" t="s">
        <v>283</v>
      </c>
      <c r="F7" s="377">
        <f>IFERROR(INDEX('EFF-N_ANTC'!$J$6:$N$96,MATCH($B7,'EFF-N_ANTC'!$A$6:$A$96,0),MATCH(F$5,'EFF-N_ANTC'!$J$5:$N$5,0)),"")</f>
        <v>0.23658855771912971</v>
      </c>
      <c r="G7" s="377">
        <f>IFERROR(INDEX('EFF-N_ANTC'!$J$6:$N$96,MATCH($B7,'EFF-N_ANTC'!$A$6:$A$96,0),MATCH(G$5,'EFF-N_ANTC'!$J$5:$N$5,0)),"")</f>
        <v>0.25508715046378805</v>
      </c>
      <c r="H7" s="377">
        <f>IFERROR(INDEX('EFF-N_ANTC'!$J$6:$N$96,MATCH($B7,'EFF-N_ANTC'!$A$6:$A$96,0),MATCH(H$5,'EFF-N_ANTC'!$J$5:$N$5,0)),"")</f>
        <v>0.28205684025891897</v>
      </c>
      <c r="I7" s="377">
        <f>IFERROR(INDEX('EFF-N_ANTC'!$J$6:$N$96,MATCH($B7,'EFF-N_ANTC'!$A$6:$A$96,0),MATCH(I$5,'EFF-N_ANTC'!$J$5:$N$5,0)),"")</f>
        <v>0.31187796402994067</v>
      </c>
      <c r="J7" s="652">
        <v>1</v>
      </c>
      <c r="K7" s="652">
        <v>1</v>
      </c>
      <c r="L7" s="652">
        <v>1</v>
      </c>
      <c r="M7" s="652">
        <v>1</v>
      </c>
      <c r="N7" s="652">
        <v>1</v>
      </c>
      <c r="O7" s="379">
        <f>IFERROR(INDEX('CapUnit-N_ANTC'!$C$6:$C$96,MATCH($B7,'CapUnit-N_ANTC'!$A$6:$A$96,0)),"")</f>
        <v>2.4E-2</v>
      </c>
      <c r="P7" s="684">
        <f>IFERROR(0.001*INDEX(VehicleCostData!$N$13:$T$102,MATCH($B7,VehicleCostData!$A$13:$A$102,0),MATCH(P$5,VehicleCostData!$N$12:$T$12,0)),"")</f>
        <v>531.43336858461009</v>
      </c>
      <c r="Q7" s="684">
        <f>IFERROR(0.001*INDEX(VehicleCostData!$N$13:$T$102,MATCH($B7,VehicleCostData!$A$13:$A$102,0),MATCH(Q$5,VehicleCostData!$N$12:$T$12,0)),"")</f>
        <v>540.08959568363241</v>
      </c>
      <c r="R7" s="684">
        <f>IFERROR(0.001*INDEX(VehicleCostData!$N$13:$T$102,MATCH($B7,VehicleCostData!$A$13:$A$102,0),MATCH(R$5,VehicleCostData!$N$12:$T$12,0)),"")</f>
        <v>548.74582278265507</v>
      </c>
      <c r="S7" s="684">
        <f>IFERROR(0.001*INDEX(VehicleCostData!$N$13:$T$102,MATCH($B7,VehicleCostData!$A$13:$A$102,0),MATCH(S$5,VehicleCostData!$N$12:$T$12,0)),"")</f>
        <v>554.77116992257743</v>
      </c>
      <c r="T7" s="684">
        <f>IFERROR(0.001*INDEX(VehicleCostData!$N$13:$T$102,MATCH($B7,VehicleCostData!$A$13:$A$102,0),MATCH(T$5,VehicleCostData!$N$12:$T$12,0)),"")</f>
        <v>560.7965170624999</v>
      </c>
      <c r="U7" s="684">
        <f>IFERROR(0.001*INDEX(VehicleCostData!$N$13:$T$102,MATCH($B7,VehicleCostData!$A$13:$A$102,0),MATCH(U$5,VehicleCostData!$N$12:$T$12,0)),"")</f>
        <v>564.26965287362793</v>
      </c>
      <c r="V7" s="684">
        <f>IFERROR(0.001*INDEX(VehicleCostData!$N$13:$T$102,MATCH($B7,VehicleCostData!$A$13:$A$102,0),MATCH(V$5,VehicleCostData!$N$12:$T$12,0)),"")</f>
        <v>567.74278868475642</v>
      </c>
      <c r="W7" s="685">
        <f>IFERROR(0.001*INDEX(VehicleCostData!$V$13:$AB$102,MATCH($B7,VehicleCostData!$A$13:$A$102,0),MATCH(W$5,VehicleCostData!$V$12:$AB$12,0)),"")</f>
        <v>14.348700951784471</v>
      </c>
      <c r="X7" s="685">
        <f>IFERROR(0.001*INDEX(VehicleCostData!$V$13:$AB$102,MATCH($B7,VehicleCostData!$A$13:$A$102,0),MATCH(X$5,VehicleCostData!$V$12:$AB$12,0)),"")</f>
        <v>14.816137215131684</v>
      </c>
      <c r="Y7" s="685">
        <f>IFERROR(0.001*INDEX(VehicleCostData!$V$13:$AB$102,MATCH($B7,VehicleCostData!$A$13:$A$102,0),MATCH(Y$5,VehicleCostData!$V$12:$AB$12,0)),"")</f>
        <v>15.141505960687496</v>
      </c>
      <c r="Z7" s="685">
        <f>IFERROR(0.001*INDEX(VehicleCostData!$V$13:$AB$102,MATCH($B7,VehicleCostData!$A$13:$A$102,0),MATCH(Z$5,VehicleCostData!$V$12:$AB$12,0)),"")</f>
        <v>15.329055294488422</v>
      </c>
      <c r="AA7" s="652">
        <v>20</v>
      </c>
      <c r="AB7" s="652">
        <v>20</v>
      </c>
      <c r="AC7" s="694">
        <f>IFERROR(VLOOKUP($AD7,$AC$1:$AD$3,2,FALSE),"")</f>
        <v>2018</v>
      </c>
      <c r="AD7" s="688">
        <v>1</v>
      </c>
    </row>
    <row r="8" spans="2:30" x14ac:dyDescent="0.25">
      <c r="B8" s="385" t="str">
        <f>IF(ITEMS_Tech_N!D8="","",ITEMS_Tech_N!D8)</f>
        <v>TPPRSUVOGS-N</v>
      </c>
      <c r="C8" s="232" t="str">
        <f>IF(ITEMS_Tech_N!E8="","",ITEMS_Tech_N!E8)</f>
        <v>Transport Passenger SUV Priv.Veh. Oil Gasoline-N</v>
      </c>
      <c r="D8" s="219" t="s">
        <v>413</v>
      </c>
      <c r="E8" s="219" t="s">
        <v>283</v>
      </c>
      <c r="F8" s="377">
        <f>IFERROR(INDEX('EFF-N_ANTC'!$J$6:$N$96,MATCH($B8,'EFF-N_ANTC'!$A$6:$A$96,0),MATCH(F$5,'EFF-N_ANTC'!$J$5:$N$5,0)),"")</f>
        <v>0.219036015361009</v>
      </c>
      <c r="G8" s="377">
        <f>IFERROR(INDEX('EFF-N_ANTC'!$J$6:$N$96,MATCH($B8,'EFF-N_ANTC'!$A$6:$A$96,0),MATCH(G$5,'EFF-N_ANTC'!$J$5:$N$5,0)),"")</f>
        <v>0.2361621945965503</v>
      </c>
      <c r="H8" s="377">
        <f>IFERROR(INDEX('EFF-N_ANTC'!$J$6:$N$96,MATCH($B8,'EFF-N_ANTC'!$A$6:$A$96,0),MATCH(H$5,'EFF-N_ANTC'!$J$5:$N$5,0)),"")</f>
        <v>0.26113099885825491</v>
      </c>
      <c r="I8" s="377">
        <f>IFERROR(INDEX('EFF-N_ANTC'!$J$6:$N$96,MATCH($B8,'EFF-N_ANTC'!$A$6:$A$96,0),MATCH(I$5,'EFF-N_ANTC'!$J$5:$N$5,0)),"")</f>
        <v>0.28873968876009926</v>
      </c>
      <c r="J8" s="652">
        <v>1</v>
      </c>
      <c r="K8" s="652">
        <v>1</v>
      </c>
      <c r="L8" s="652">
        <v>1</v>
      </c>
      <c r="M8" s="652">
        <v>1</v>
      </c>
      <c r="N8" s="652">
        <v>1</v>
      </c>
      <c r="O8" s="379">
        <f>IFERROR(INDEX('CapUnit-N_ANTC'!$C$6:$C$96,MATCH($B8,'CapUnit-N_ANTC'!$A$6:$A$96,0)),"")</f>
        <v>2.4E-2</v>
      </c>
      <c r="P8" s="684">
        <f>IFERROR(0.001*INDEX(VehicleCostData!$N$13:$T$102,MATCH($B8,VehicleCostData!$A$13:$A$102,0),MATCH(P$5,VehicleCostData!$N$12:$T$12,0)),"")</f>
        <v>465.11174445364264</v>
      </c>
      <c r="Q8" s="684">
        <f>IFERROR(0.001*INDEX(VehicleCostData!$N$13:$T$102,MATCH($B8,VehicleCostData!$A$13:$A$102,0),MATCH(Q$5,VehicleCostData!$N$12:$T$12,0)),"")</f>
        <v>472.68769493852869</v>
      </c>
      <c r="R8" s="684">
        <f>IFERROR(0.001*INDEX(VehicleCostData!$N$13:$T$102,MATCH($B8,VehicleCostData!$A$13:$A$102,0),MATCH(R$5,VehicleCostData!$N$12:$T$12,0)),"")</f>
        <v>480.26364542341497</v>
      </c>
      <c r="S8" s="684">
        <f>IFERROR(0.001*INDEX(VehicleCostData!$N$13:$T$102,MATCH($B8,VehicleCostData!$A$13:$A$102,0),MATCH(S$5,VehicleCostData!$N$12:$T$12,0)),"")</f>
        <v>485.53704352909278</v>
      </c>
      <c r="T8" s="684">
        <f>IFERROR(0.001*INDEX(VehicleCostData!$N$13:$T$102,MATCH($B8,VehicleCostData!$A$13:$A$102,0),MATCH(T$5,VehicleCostData!$N$12:$T$12,0)),"")</f>
        <v>490.81044163477065</v>
      </c>
      <c r="U8" s="684">
        <f>IFERROR(0.001*INDEX(VehicleCostData!$N$13:$T$102,MATCH($B8,VehicleCostData!$A$13:$A$102,0),MATCH(U$5,VehicleCostData!$N$12:$T$12,0)),"")</f>
        <v>493.85013833304271</v>
      </c>
      <c r="V8" s="684">
        <f>IFERROR(0.001*INDEX(VehicleCostData!$N$13:$T$102,MATCH($B8,VehicleCostData!$A$13:$A$102,0),MATCH(V$5,VehicleCostData!$N$12:$T$12,0)),"")</f>
        <v>496.88983503131487</v>
      </c>
      <c r="W8" s="685">
        <f>IFERROR(0.001*INDEX(VehicleCostData!$V$13:$AB$102,MATCH($B8,VehicleCostData!$A$13:$A$102,0),MATCH(W$5,VehicleCostData!$V$12:$AB$12,0)),"")</f>
        <v>12.558017100248351</v>
      </c>
      <c r="X8" s="685">
        <f>IFERROR(0.001*INDEX(VehicleCostData!$V$13:$AB$102,MATCH($B8,VehicleCostData!$A$13:$A$102,0),MATCH(X$5,VehicleCostData!$V$12:$AB$12,0)),"")</f>
        <v>12.967118426432204</v>
      </c>
      <c r="Y8" s="685">
        <f>IFERROR(0.001*INDEX(VehicleCostData!$V$13:$AB$102,MATCH($B8,VehicleCostData!$A$13:$A$102,0),MATCH(Y$5,VehicleCostData!$V$12:$AB$12,0)),"")</f>
        <v>13.251881924138809</v>
      </c>
      <c r="Z8" s="685">
        <f>IFERROR(0.001*INDEX(VehicleCostData!$V$13:$AB$102,MATCH($B8,VehicleCostData!$A$13:$A$102,0),MATCH(Z$5,VehicleCostData!$V$12:$AB$12,0)),"")</f>
        <v>13.416025545845502</v>
      </c>
      <c r="AA8" s="652">
        <v>20</v>
      </c>
      <c r="AB8" s="652">
        <v>20</v>
      </c>
      <c r="AC8" s="694">
        <f t="shared" ref="AC8:AC73" si="0">IFERROR(VLOOKUP($AD8,$AC$1:$AD$3,2,FALSE),"")</f>
        <v>2018</v>
      </c>
      <c r="AD8" s="688">
        <v>1</v>
      </c>
    </row>
    <row r="9" spans="2:30" x14ac:dyDescent="0.25">
      <c r="B9" s="385" t="str">
        <f>IF(ITEMS_Tech_N!D9="","",ITEMS_Tech_N!D9)</f>
        <v>*</v>
      </c>
      <c r="C9" s="232" t="str">
        <f>IF(ITEMS_Tech_N!E9="","",ITEMS_Tech_N!E9)</f>
        <v>Transport Passenger SUV Priv.Veh. Oil Diesel Hybrid-N</v>
      </c>
      <c r="D9" s="219" t="s">
        <v>411</v>
      </c>
      <c r="E9" s="219" t="s">
        <v>283</v>
      </c>
      <c r="F9" s="377">
        <f>IFERROR(INDEX('EFF-N_ANTC'!$J$6:$N$96,MATCH($B9,'EFF-N_ANTC'!$A$6:$A$96,0),MATCH(F$5,'EFF-N_ANTC'!$J$5:$N$5,0)),"")</f>
        <v>0.23658855771912971</v>
      </c>
      <c r="G9" s="377">
        <f>IFERROR(INDEX('EFF-N_ANTC'!$J$6:$N$96,MATCH($B9,'EFF-N_ANTC'!$A$6:$A$96,0),MATCH(G$5,'EFF-N_ANTC'!$J$5:$N$5,0)),"")</f>
        <v>0.25508715046378805</v>
      </c>
      <c r="H9" s="377">
        <f>IFERROR(INDEX('EFF-N_ANTC'!$J$6:$N$96,MATCH($B9,'EFF-N_ANTC'!$A$6:$A$96,0),MATCH(H$5,'EFF-N_ANTC'!$J$5:$N$5,0)),"")</f>
        <v>0.28205684025891897</v>
      </c>
      <c r="I9" s="377">
        <f>IFERROR(INDEX('EFF-N_ANTC'!$J$6:$N$96,MATCH($B9,'EFF-N_ANTC'!$A$6:$A$96,0),MATCH(I$5,'EFF-N_ANTC'!$J$5:$N$5,0)),"")</f>
        <v>0.31187796402994067</v>
      </c>
      <c r="J9" s="652">
        <v>1</v>
      </c>
      <c r="K9" s="652">
        <v>1</v>
      </c>
      <c r="L9" s="652">
        <v>1</v>
      </c>
      <c r="M9" s="652">
        <v>1</v>
      </c>
      <c r="N9" s="652">
        <v>1</v>
      </c>
      <c r="O9" s="379">
        <f>IFERROR(INDEX('CapUnit-N_ANTC'!$C$6:$C$96,MATCH($B9,'CapUnit-N_ANTC'!$A$6:$A$96,0)),"")</f>
        <v>2.4E-2</v>
      </c>
      <c r="P9" s="684">
        <f>IFERROR(0.001*INDEX(VehicleCostData!$N$13:$T$102,MATCH($B9,VehicleCostData!$A$13:$A$102,0),MATCH(P$5,VehicleCostData!$N$12:$T$12,0)),"")</f>
        <v>531.43336858461009</v>
      </c>
      <c r="Q9" s="684">
        <f>IFERROR(0.001*INDEX(VehicleCostData!$N$13:$T$102,MATCH($B9,VehicleCostData!$A$13:$A$102,0),MATCH(Q$5,VehicleCostData!$N$12:$T$12,0)),"")</f>
        <v>540.08959568363241</v>
      </c>
      <c r="R9" s="684">
        <f>IFERROR(0.001*INDEX(VehicleCostData!$N$13:$T$102,MATCH($B9,VehicleCostData!$A$13:$A$102,0),MATCH(R$5,VehicleCostData!$N$12:$T$12,0)),"")</f>
        <v>548.74582278265507</v>
      </c>
      <c r="S9" s="684">
        <f>IFERROR(0.001*INDEX(VehicleCostData!$N$13:$T$102,MATCH($B9,VehicleCostData!$A$13:$A$102,0),MATCH(S$5,VehicleCostData!$N$12:$T$12,0)),"")</f>
        <v>554.77116992257743</v>
      </c>
      <c r="T9" s="684">
        <f>IFERROR(0.001*INDEX(VehicleCostData!$N$13:$T$102,MATCH($B9,VehicleCostData!$A$13:$A$102,0),MATCH(T$5,VehicleCostData!$N$12:$T$12,0)),"")</f>
        <v>560.7965170624999</v>
      </c>
      <c r="U9" s="684">
        <f>IFERROR(0.001*INDEX(VehicleCostData!$N$13:$T$102,MATCH($B9,VehicleCostData!$A$13:$A$102,0),MATCH(U$5,VehicleCostData!$N$12:$T$12,0)),"")</f>
        <v>564.26965287362793</v>
      </c>
      <c r="V9" s="684">
        <f>IFERROR(0.001*INDEX(VehicleCostData!$N$13:$T$102,MATCH($B9,VehicleCostData!$A$13:$A$102,0),MATCH(V$5,VehicleCostData!$N$12:$T$12,0)),"")</f>
        <v>567.74278868475642</v>
      </c>
      <c r="W9" s="685">
        <f>IFERROR(0.001*INDEX(VehicleCostData!$V$13:$AB$102,MATCH($B9,VehicleCostData!$A$13:$A$102,0),MATCH(W$5,VehicleCostData!$V$12:$AB$12,0)),"")</f>
        <v>14.348700951784471</v>
      </c>
      <c r="X9" s="685">
        <f>IFERROR(0.001*INDEX(VehicleCostData!$V$13:$AB$102,MATCH($B9,VehicleCostData!$A$13:$A$102,0),MATCH(X$5,VehicleCostData!$V$12:$AB$12,0)),"")</f>
        <v>14.816137215131684</v>
      </c>
      <c r="Y9" s="685">
        <f>IFERROR(0.001*INDEX(VehicleCostData!$V$13:$AB$102,MATCH($B9,VehicleCostData!$A$13:$A$102,0),MATCH(Y$5,VehicleCostData!$V$12:$AB$12,0)),"")</f>
        <v>15.141505960687496</v>
      </c>
      <c r="Z9" s="685">
        <f>IFERROR(0.001*INDEX(VehicleCostData!$V$13:$AB$102,MATCH($B9,VehicleCostData!$A$13:$A$102,0),MATCH(Z$5,VehicleCostData!$V$12:$AB$12,0)),"")</f>
        <v>15.329055294488422</v>
      </c>
      <c r="AA9" s="652">
        <v>20</v>
      </c>
      <c r="AB9" s="652">
        <v>20</v>
      </c>
      <c r="AC9" s="694">
        <f t="shared" si="0"/>
        <v>2080</v>
      </c>
      <c r="AD9" s="688">
        <v>3</v>
      </c>
    </row>
    <row r="10" spans="2:30" x14ac:dyDescent="0.25">
      <c r="B10" s="385" t="str">
        <f>IF(ITEMS_Tech_N!D10="","",ITEMS_Tech_N!D10)</f>
        <v>TPPRSUVOGSH-N</v>
      </c>
      <c r="C10" s="232" t="str">
        <f>IF(ITEMS_Tech_N!E10="","",ITEMS_Tech_N!E10)</f>
        <v>Transport Passenger SUV Priv.Veh. Oil Gasoline Hybrid-N</v>
      </c>
      <c r="D10" s="219" t="s">
        <v>413</v>
      </c>
      <c r="E10" s="219" t="s">
        <v>283</v>
      </c>
      <c r="F10" s="377">
        <f>IFERROR(INDEX('EFF-N_ANTC'!$J$6:$N$96,MATCH($B10,'EFF-N_ANTC'!$A$6:$A$96,0),MATCH(F$5,'EFF-N_ANTC'!$J$5:$N$5,0)),"")</f>
        <v>0.43407150834094715</v>
      </c>
      <c r="G10" s="377">
        <f>IFERROR(INDEX('EFF-N_ANTC'!$J$6:$N$96,MATCH($B10,'EFF-N_ANTC'!$A$6:$A$96,0),MATCH(G$5,'EFF-N_ANTC'!$J$5:$N$5,0)),"")</f>
        <v>0.46801107047476492</v>
      </c>
      <c r="H10" s="377">
        <f>IFERROR(INDEX('EFF-N_ANTC'!$J$6:$N$96,MATCH($B10,'EFF-N_ANTC'!$A$6:$A$96,0),MATCH(H$5,'EFF-N_ANTC'!$J$5:$N$5,0)),"")</f>
        <v>0.51749264321742416</v>
      </c>
      <c r="I10" s="377">
        <f>IFERROR(INDEX('EFF-N_ANTC'!$J$6:$N$96,MATCH($B10,'EFF-N_ANTC'!$A$6:$A$96,0),MATCH(I$5,'EFF-N_ANTC'!$J$5:$N$5,0)),"")</f>
        <v>0.57220577178333198</v>
      </c>
      <c r="J10" s="652">
        <v>1</v>
      </c>
      <c r="K10" s="652">
        <v>1</v>
      </c>
      <c r="L10" s="652">
        <v>1</v>
      </c>
      <c r="M10" s="652">
        <v>1</v>
      </c>
      <c r="N10" s="652">
        <v>1</v>
      </c>
      <c r="O10" s="379">
        <f>IFERROR(INDEX('CapUnit-N_ANTC'!$C$6:$C$96,MATCH($B10,'CapUnit-N_ANTC'!$A$6:$A$96,0)),"")</f>
        <v>2.4E-2</v>
      </c>
      <c r="P10" s="684">
        <f>IFERROR(0.001*INDEX(VehicleCostData!$N$13:$T$102,MATCH($B10,VehicleCostData!$A$13:$A$102,0),MATCH(P$5,VehicleCostData!$N$12:$T$12,0)),"")</f>
        <v>581.24526829884144</v>
      </c>
      <c r="Q10" s="684">
        <f>IFERROR(0.001*INDEX(VehicleCostData!$N$13:$T$102,MATCH($B10,VehicleCostData!$A$13:$A$102,0),MATCH(Q$5,VehicleCostData!$N$12:$T$12,0)),"")</f>
        <v>541.64493376038104</v>
      </c>
      <c r="R10" s="684">
        <f>IFERROR(0.001*INDEX(VehicleCostData!$N$13:$T$102,MATCH($B10,VehicleCostData!$A$13:$A$102,0),MATCH(R$5,VehicleCostData!$N$12:$T$12,0)),"")</f>
        <v>535.03950773891449</v>
      </c>
      <c r="S10" s="684">
        <f>IFERROR(0.001*INDEX(VehicleCostData!$N$13:$T$102,MATCH($B10,VehicleCostData!$A$13:$A$102,0),MATCH(S$5,VehicleCostData!$N$12:$T$12,0)),"")</f>
        <v>502.01237763157377</v>
      </c>
      <c r="T10" s="684">
        <f>IFERROR(0.001*INDEX(VehicleCostData!$N$13:$T$102,MATCH($B10,VehicleCostData!$A$13:$A$102,0),MATCH(T$5,VehicleCostData!$N$12:$T$12,0)),"")</f>
        <v>502.83805588425702</v>
      </c>
      <c r="U10" s="684">
        <f>IFERROR(0.001*INDEX(VehicleCostData!$N$13:$T$102,MATCH($B10,VehicleCostData!$A$13:$A$102,0),MATCH(U$5,VehicleCostData!$N$12:$T$12,0)),"")</f>
        <v>503.66373413694055</v>
      </c>
      <c r="V10" s="684">
        <f>IFERROR(0.001*INDEX(VehicleCostData!$N$13:$T$102,MATCH($B10,VehicleCostData!$A$13:$A$102,0),MATCH(V$5,VehicleCostData!$N$12:$T$12,0)),"")</f>
        <v>504.48941238962408</v>
      </c>
      <c r="W10" s="685">
        <f>IFERROR(0.001*INDEX(VehicleCostData!$V$13:$AB$102,MATCH($B10,VehicleCostData!$A$13:$A$102,0),MATCH(W$5,VehicleCostData!$V$12:$AB$12,0)),"")</f>
        <v>15.693622244068719</v>
      </c>
      <c r="X10" s="685">
        <f>IFERROR(0.001*INDEX(VehicleCostData!$V$13:$AB$102,MATCH($B10,VehicleCostData!$A$13:$A$102,0),MATCH(X$5,VehicleCostData!$V$12:$AB$12,0)),"")</f>
        <v>14.44606670895069</v>
      </c>
      <c r="Y10" s="685">
        <f>IFERROR(0.001*INDEX(VehicleCostData!$V$13:$AB$102,MATCH($B10,VehicleCostData!$A$13:$A$102,0),MATCH(Y$5,VehicleCostData!$V$12:$AB$12,0)),"")</f>
        <v>13.576627508874939</v>
      </c>
      <c r="Z10" s="685">
        <f>IFERROR(0.001*INDEX(VehicleCostData!$V$13:$AB$102,MATCH($B10,VehicleCostData!$A$13:$A$102,0),MATCH(Z$5,VehicleCostData!$V$12:$AB$12,0)),"")</f>
        <v>13.62121413451985</v>
      </c>
      <c r="AA10" s="652">
        <v>20</v>
      </c>
      <c r="AB10" s="652">
        <v>20</v>
      </c>
      <c r="AC10" s="694">
        <f t="shared" si="0"/>
        <v>2018</v>
      </c>
      <c r="AD10" s="688">
        <v>1</v>
      </c>
    </row>
    <row r="11" spans="2:30" x14ac:dyDescent="0.25">
      <c r="B11" s="385" t="str">
        <f>IF(ITEMS_Tech_N!D11="","",ITEMS_Tech_N!D11)</f>
        <v>TPPRSUVOGSP-N</v>
      </c>
      <c r="C11" s="232" t="str">
        <f>IF(ITEMS_Tech_N!E11="","",ITEMS_Tech_N!E11)</f>
        <v>Transport Passenger SUV Priv.Veh. Oil Gasoline Plug-in Hybrid-N</v>
      </c>
      <c r="D11" s="219" t="s">
        <v>413</v>
      </c>
      <c r="E11" s="219" t="s">
        <v>283</v>
      </c>
      <c r="F11" s="377">
        <f>IFERROR(INDEX('EFF-N_ANTC'!$J$6:$N$96,MATCH($B11,'EFF-N_ANTC'!$A$6:$A$96,0),MATCH(F$5,'EFF-N_ANTC'!$J$5:$N$5,0)),"")</f>
        <v>0.65334474451317814</v>
      </c>
      <c r="G11" s="377">
        <f>IFERROR(INDEX('EFF-N_ANTC'!$J$6:$N$96,MATCH($B11,'EFF-N_ANTC'!$A$6:$A$96,0),MATCH(G$5,'EFF-N_ANTC'!$J$5:$N$5,0)),"")</f>
        <v>0.70442903391047096</v>
      </c>
      <c r="H11" s="377">
        <f>IFERROR(INDEX('EFF-N_ANTC'!$J$6:$N$96,MATCH($B11,'EFF-N_ANTC'!$A$6:$A$96,0),MATCH(H$5,'EFF-N_ANTC'!$J$5:$N$5,0)),"")</f>
        <v>0.77890645267777248</v>
      </c>
      <c r="I11" s="377">
        <f>IFERROR(INDEX('EFF-N_ANTC'!$J$6:$N$96,MATCH($B11,'EFF-N_ANTC'!$A$6:$A$96,0),MATCH(I$5,'EFF-N_ANTC'!$J$5:$N$5,0)),"")</f>
        <v>0.86125817196254106</v>
      </c>
      <c r="J11" s="652">
        <v>1</v>
      </c>
      <c r="K11" s="652">
        <v>1</v>
      </c>
      <c r="L11" s="652">
        <v>1</v>
      </c>
      <c r="M11" s="652">
        <v>1</v>
      </c>
      <c r="N11" s="652">
        <v>1</v>
      </c>
      <c r="O11" s="379">
        <f>IFERROR(INDEX('CapUnit-N_ANTC'!$C$6:$C$96,MATCH($B11,'CapUnit-N_ANTC'!$A$6:$A$96,0)),"")</f>
        <v>2.4E-2</v>
      </c>
      <c r="P11" s="684">
        <f>IFERROR(0.001*INDEX(VehicleCostData!$N$13:$T$102,MATCH($B11,VehicleCostData!$A$13:$A$102,0),MATCH(P$5,VehicleCostData!$N$12:$T$12,0)),"")</f>
        <v>838.62425072817825</v>
      </c>
      <c r="Q11" s="684">
        <f>IFERROR(0.001*INDEX(VehicleCostData!$N$13:$T$102,MATCH($B11,VehicleCostData!$A$13:$A$102,0),MATCH(Q$5,VehicleCostData!$N$12:$T$12,0)),"")</f>
        <v>781.4886443118055</v>
      </c>
      <c r="R11" s="684">
        <f>IFERROR(0.001*INDEX(VehicleCostData!$N$13:$T$102,MATCH($B11,VehicleCostData!$A$13:$A$102,0),MATCH(R$5,VehicleCostData!$N$12:$T$12,0)),"")</f>
        <v>771.95829499093202</v>
      </c>
      <c r="S11" s="684">
        <f>IFERROR(0.001*INDEX(VehicleCostData!$N$13:$T$102,MATCH($B11,VehicleCostData!$A$13:$A$102,0),MATCH(S$5,VehicleCostData!$N$12:$T$12,0)),"")</f>
        <v>724.306548386553</v>
      </c>
      <c r="T11" s="684">
        <f>IFERROR(0.001*INDEX(VehicleCostData!$N$13:$T$102,MATCH($B11,VehicleCostData!$A$13:$A$102,0),MATCH(T$5,VehicleCostData!$N$12:$T$12,0)),"")</f>
        <v>725.49784205166202</v>
      </c>
      <c r="U11" s="684">
        <f>IFERROR(0.001*INDEX(VehicleCostData!$N$13:$T$102,MATCH($B11,VehicleCostData!$A$13:$A$102,0),MATCH(U$5,VehicleCostData!$N$12:$T$12,0)),"")</f>
        <v>726.6891357167716</v>
      </c>
      <c r="V11" s="684">
        <f>IFERROR(0.001*INDEX(VehicleCostData!$N$13:$T$102,MATCH($B11,VehicleCostData!$A$13:$A$102,0),MATCH(V$5,VehicleCostData!$N$12:$T$12,0)),"")</f>
        <v>727.88042938188107</v>
      </c>
      <c r="W11" s="685">
        <f>IFERROR(0.001*INDEX(VehicleCostData!$V$13:$AB$102,MATCH($B11,VehicleCostData!$A$13:$A$102,0),MATCH(W$5,VehicleCostData!$V$12:$AB$12,0)),"")</f>
        <v>22.642854769660811</v>
      </c>
      <c r="X11" s="685">
        <f>IFERROR(0.001*INDEX(VehicleCostData!$V$13:$AB$102,MATCH($B11,VehicleCostData!$A$13:$A$102,0),MATCH(X$5,VehicleCostData!$V$12:$AB$12,0)),"")</f>
        <v>20.842873964755164</v>
      </c>
      <c r="Y11" s="685">
        <f>IFERROR(0.001*INDEX(VehicleCostData!$V$13:$AB$102,MATCH($B11,VehicleCostData!$A$13:$A$102,0),MATCH(Y$5,VehicleCostData!$V$12:$AB$12,0)),"")</f>
        <v>19.588441735394873</v>
      </c>
      <c r="Z11" s="685">
        <f>IFERROR(0.001*INDEX(VehicleCostData!$V$13:$AB$102,MATCH($B11,VehicleCostData!$A$13:$A$102,0),MATCH(Z$5,VehicleCostData!$V$12:$AB$12,0)),"")</f>
        <v>19.652771593310788</v>
      </c>
      <c r="AA11" s="652">
        <v>20</v>
      </c>
      <c r="AB11" s="652">
        <v>20</v>
      </c>
      <c r="AC11" s="694">
        <f t="shared" si="0"/>
        <v>2018</v>
      </c>
      <c r="AD11" s="688">
        <v>1</v>
      </c>
    </row>
    <row r="12" spans="2:30" x14ac:dyDescent="0.25">
      <c r="B12" s="385" t="str">
        <f>IF(ITEMS_Tech_N!D12="","",ITEMS_Tech_N!D12)</f>
        <v>*</v>
      </c>
      <c r="C12" s="232" t="str">
        <f>IF(ITEMS_Tech_N!E12="","",ITEMS_Tech_N!E12)</f>
        <v>Transport Passenger SUV Priv.Veh. Gas-N</v>
      </c>
      <c r="D12" s="219" t="s">
        <v>563</v>
      </c>
      <c r="E12" s="219" t="s">
        <v>283</v>
      </c>
      <c r="F12" s="377">
        <f>IFERROR(INDEX('EFF-N_ANTC'!$J$6:$N$96,MATCH($B12,'EFF-N_ANTC'!$A$6:$A$96,0),MATCH(F$5,'EFF-N_ANTC'!$J$5:$N$5,0)),"")</f>
        <v>0.23658855771912971</v>
      </c>
      <c r="G12" s="377">
        <f>IFERROR(INDEX('EFF-N_ANTC'!$J$6:$N$96,MATCH($B12,'EFF-N_ANTC'!$A$6:$A$96,0),MATCH(G$5,'EFF-N_ANTC'!$J$5:$N$5,0)),"")</f>
        <v>0.25508715046378805</v>
      </c>
      <c r="H12" s="377">
        <f>IFERROR(INDEX('EFF-N_ANTC'!$J$6:$N$96,MATCH($B12,'EFF-N_ANTC'!$A$6:$A$96,0),MATCH(H$5,'EFF-N_ANTC'!$J$5:$N$5,0)),"")</f>
        <v>0.28205684025891897</v>
      </c>
      <c r="I12" s="377">
        <f>IFERROR(INDEX('EFF-N_ANTC'!$J$6:$N$96,MATCH($B12,'EFF-N_ANTC'!$A$6:$A$96,0),MATCH(I$5,'EFF-N_ANTC'!$J$5:$N$5,0)),"")</f>
        <v>0.31187796402994067</v>
      </c>
      <c r="J12" s="652">
        <v>1</v>
      </c>
      <c r="K12" s="652">
        <v>1</v>
      </c>
      <c r="L12" s="652">
        <v>1</v>
      </c>
      <c r="M12" s="652">
        <v>1</v>
      </c>
      <c r="N12" s="652">
        <v>1</v>
      </c>
      <c r="O12" s="379">
        <f>IFERROR(INDEX('CapUnit-N_ANTC'!$C$6:$C$96,MATCH($B12,'CapUnit-N_ANTC'!$A$6:$A$96,0)),"")</f>
        <v>2.4E-2</v>
      </c>
      <c r="P12" s="684">
        <f>IFERROR(0.001*INDEX(VehicleCostData!$N$13:$T$102,MATCH($B12,VehicleCostData!$A$13:$A$102,0),MATCH(P$5,VehicleCostData!$N$12:$T$12,0)),"")</f>
        <v>531.43336858461009</v>
      </c>
      <c r="Q12" s="684">
        <f>IFERROR(0.001*INDEX(VehicleCostData!$N$13:$T$102,MATCH($B12,VehicleCostData!$A$13:$A$102,0),MATCH(Q$5,VehicleCostData!$N$12:$T$12,0)),"")</f>
        <v>540.08959568363241</v>
      </c>
      <c r="R12" s="684">
        <f>IFERROR(0.001*INDEX(VehicleCostData!$N$13:$T$102,MATCH($B12,VehicleCostData!$A$13:$A$102,0),MATCH(R$5,VehicleCostData!$N$12:$T$12,0)),"")</f>
        <v>548.74582278265507</v>
      </c>
      <c r="S12" s="684">
        <f>IFERROR(0.001*INDEX(VehicleCostData!$N$13:$T$102,MATCH($B12,VehicleCostData!$A$13:$A$102,0),MATCH(S$5,VehicleCostData!$N$12:$T$12,0)),"")</f>
        <v>554.77116992257743</v>
      </c>
      <c r="T12" s="684">
        <f>IFERROR(0.001*INDEX(VehicleCostData!$N$13:$T$102,MATCH($B12,VehicleCostData!$A$13:$A$102,0),MATCH(T$5,VehicleCostData!$N$12:$T$12,0)),"")</f>
        <v>560.7965170624999</v>
      </c>
      <c r="U12" s="684">
        <f>IFERROR(0.001*INDEX(VehicleCostData!$N$13:$T$102,MATCH($B12,VehicleCostData!$A$13:$A$102,0),MATCH(U$5,VehicleCostData!$N$12:$T$12,0)),"")</f>
        <v>564.26965287362793</v>
      </c>
      <c r="V12" s="684">
        <f>IFERROR(0.001*INDEX(VehicleCostData!$N$13:$T$102,MATCH($B12,VehicleCostData!$A$13:$A$102,0),MATCH(V$5,VehicleCostData!$N$12:$T$12,0)),"")</f>
        <v>567.74278868475642</v>
      </c>
      <c r="W12" s="685">
        <f>IFERROR(0.001*INDEX(VehicleCostData!$V$13:$AB$102,MATCH($B12,VehicleCostData!$A$13:$A$102,0),MATCH(W$5,VehicleCostData!$V$12:$AB$12,0)),"")</f>
        <v>14.348700951784471</v>
      </c>
      <c r="X12" s="685">
        <f>IFERROR(0.001*INDEX(VehicleCostData!$V$13:$AB$102,MATCH($B12,VehicleCostData!$A$13:$A$102,0),MATCH(X$5,VehicleCostData!$V$12:$AB$12,0)),"")</f>
        <v>14.816137215131684</v>
      </c>
      <c r="Y12" s="685">
        <f>IFERROR(0.001*INDEX(VehicleCostData!$V$13:$AB$102,MATCH($B12,VehicleCostData!$A$13:$A$102,0),MATCH(Y$5,VehicleCostData!$V$12:$AB$12,0)),"")</f>
        <v>15.141505960687496</v>
      </c>
      <c r="Z12" s="685">
        <f>IFERROR(0.001*INDEX(VehicleCostData!$V$13:$AB$102,MATCH($B12,VehicleCostData!$A$13:$A$102,0),MATCH(Z$5,VehicleCostData!$V$12:$AB$12,0)),"")</f>
        <v>15.329055294488422</v>
      </c>
      <c r="AA12" s="652">
        <v>20</v>
      </c>
      <c r="AB12" s="652">
        <v>20</v>
      </c>
      <c r="AC12" s="694">
        <f t="shared" si="0"/>
        <v>2080</v>
      </c>
      <c r="AD12" s="688">
        <v>3</v>
      </c>
    </row>
    <row r="13" spans="2:30" x14ac:dyDescent="0.25">
      <c r="B13" s="385" t="str">
        <f>IF(ITEMS_Tech_N!D13="","",ITEMS_Tech_N!D13)</f>
        <v>TPPRSUVHGNF-N</v>
      </c>
      <c r="C13" s="232" t="str">
        <f>IF(ITEMS_Tech_N!E13="","",ITEMS_Tech_N!E13)</f>
        <v>Transport Passenger SUV Priv.Veh. Hydrogen Fuel Cell-N</v>
      </c>
      <c r="D13" s="219" t="s">
        <v>804</v>
      </c>
      <c r="E13" s="219" t="s">
        <v>283</v>
      </c>
      <c r="F13" s="377" t="str">
        <f>IFERROR(INDEX('EFF-N_ANTC'!$J$6:$N$96,MATCH($B13,'EFF-N_ANTC'!$A$6:$A$96,0),MATCH(F$5,'EFF-N_ANTC'!$J$5:$N$5,0)),"")</f>
        <v/>
      </c>
      <c r="G13" s="377">
        <f>IFERROR(INDEX('EFF-N_ANTC'!$J$6:$N$96,MATCH($B13,'EFF-N_ANTC'!$A$6:$A$96,0),MATCH(G$5,'EFF-N_ANTC'!$J$5:$N$5,0)),"")</f>
        <v>0.86141532050021885</v>
      </c>
      <c r="H13" s="377">
        <f>IFERROR(INDEX('EFF-N_ANTC'!$J$6:$N$96,MATCH($B13,'EFF-N_ANTC'!$A$6:$A$96,0),MATCH(H$5,'EFF-N_ANTC'!$J$5:$N$5,0)),"")</f>
        <v>0.95249048417045723</v>
      </c>
      <c r="I13" s="377">
        <f>IFERROR(INDEX('EFF-N_ANTC'!$J$6:$N$96,MATCH($B13,'EFF-N_ANTC'!$A$6:$A$96,0),MATCH(I$5,'EFF-N_ANTC'!$J$5:$N$5,0)),"")</f>
        <v>1.0531947840310574</v>
      </c>
      <c r="J13" s="652">
        <v>1</v>
      </c>
      <c r="K13" s="652">
        <v>1</v>
      </c>
      <c r="L13" s="652">
        <v>1</v>
      </c>
      <c r="M13" s="652">
        <v>1</v>
      </c>
      <c r="N13" s="652">
        <v>1</v>
      </c>
      <c r="O13" s="379">
        <f>IFERROR(INDEX('CapUnit-N_ANTC'!$C$6:$C$96,MATCH($B13,'CapUnit-N_ANTC'!$A$6:$A$96,0)),"")</f>
        <v>2.4E-2</v>
      </c>
      <c r="P13" s="684">
        <f>IFERROR(0.001*INDEX(VehicleCostData!$N$13:$T$102,MATCH($B13,VehicleCostData!$A$13:$A$102,0),MATCH(P$5,VehicleCostData!$N$12:$T$12,0)),"")</f>
        <v>1632.5139526173305</v>
      </c>
      <c r="Q13" s="684">
        <f>IFERROR(0.001*INDEX(VehicleCostData!$N$13:$T$102,MATCH($B13,VehicleCostData!$A$13:$A$102,0),MATCH(Q$5,VehicleCostData!$N$12:$T$12,0)),"")</f>
        <v>1353.7920582680192</v>
      </c>
      <c r="R13" s="684">
        <f>IFERROR(0.001*INDEX(VehicleCostData!$N$13:$T$102,MATCH($B13,VehicleCostData!$A$13:$A$102,0),MATCH(R$5,VehicleCostData!$N$12:$T$12,0)),"")</f>
        <v>1274.1572313110948</v>
      </c>
      <c r="S13" s="684">
        <f>IFERROR(0.001*INDEX(VehicleCostData!$N$13:$T$102,MATCH($B13,VehicleCostData!$A$13:$A$102,0),MATCH(S$5,VehicleCostData!$N$12:$T$12,0)),"")</f>
        <v>875.98309652636419</v>
      </c>
      <c r="T13" s="684">
        <f>IFERROR(0.001*INDEX(VehicleCostData!$N$13:$T$102,MATCH($B13,VehicleCostData!$A$13:$A$102,0),MATCH(T$5,VehicleCostData!$N$12:$T$12,0)),"")</f>
        <v>796.34826956943948</v>
      </c>
      <c r="U13" s="684">
        <f>IFERROR(0.001*INDEX(VehicleCostData!$N$13:$T$102,MATCH($B13,VehicleCostData!$A$13:$A$102,0),MATCH(U$5,VehicleCostData!$N$12:$T$12,0)),"")</f>
        <v>716.7134426124934</v>
      </c>
      <c r="V13" s="684">
        <f>IFERROR(0.001*INDEX(VehicleCostData!$N$13:$T$102,MATCH($B13,VehicleCostData!$A$13:$A$102,0),MATCH(V$5,VehicleCostData!$N$12:$T$12,0)),"")</f>
        <v>637.07861565554742</v>
      </c>
      <c r="W13" s="685">
        <f>IFERROR(0.001*INDEX(VehicleCostData!$V$13:$AB$102,MATCH($B13,VehicleCostData!$A$13:$A$102,0),MATCH(W$5,VehicleCostData!$V$12:$AB$12,0)),"")</f>
        <v>44.077876720667923</v>
      </c>
      <c r="X13" s="685">
        <f>IFERROR(0.001*INDEX(VehicleCostData!$V$13:$AB$102,MATCH($B13,VehicleCostData!$A$13:$A$102,0),MATCH(X$5,VehicleCostData!$V$12:$AB$12,0)),"")</f>
        <v>34.402245245399556</v>
      </c>
      <c r="Y13" s="685">
        <f>IFERROR(0.001*INDEX(VehicleCostData!$V$13:$AB$102,MATCH($B13,VehicleCostData!$A$13:$A$102,0),MATCH(Y$5,VehicleCostData!$V$12:$AB$12,0)),"")</f>
        <v>21.501403278374866</v>
      </c>
      <c r="Z13" s="685">
        <f>IFERROR(0.001*INDEX(VehicleCostData!$V$13:$AB$102,MATCH($B13,VehicleCostData!$A$13:$A$102,0),MATCH(Z$5,VehicleCostData!$V$12:$AB$12,0)),"")</f>
        <v>17.201122622699778</v>
      </c>
      <c r="AA13" s="652">
        <v>20</v>
      </c>
      <c r="AB13" s="652">
        <v>20</v>
      </c>
      <c r="AC13" s="694">
        <f t="shared" si="0"/>
        <v>2080</v>
      </c>
      <c r="AD13" s="688">
        <v>3</v>
      </c>
    </row>
    <row r="14" spans="2:30" x14ac:dyDescent="0.25">
      <c r="B14" s="385" t="str">
        <f>IF(ITEMS_Tech_N!D14="","",ITEMS_Tech_N!D14)</f>
        <v>*</v>
      </c>
      <c r="C14" s="232" t="str">
        <f>IF(ITEMS_Tech_N!E14="","",ITEMS_Tech_N!E14)</f>
        <v>Transport Passenger SUV Priv.Veh. Oil Blended Gasoline-Ethanol-E85-N</v>
      </c>
      <c r="D14" s="219" t="s">
        <v>805</v>
      </c>
      <c r="E14" s="219" t="s">
        <v>283</v>
      </c>
      <c r="F14" s="377">
        <f>IFERROR(INDEX('EFF-N_ANTC'!$J$6:$N$96,MATCH($B14,'EFF-N_ANTC'!$A$6:$A$96,0),MATCH(F$5,'EFF-N_ANTC'!$J$5:$N$5,0)),"")</f>
        <v>0.23658855771912971</v>
      </c>
      <c r="G14" s="377">
        <f>IFERROR(INDEX('EFF-N_ANTC'!$J$6:$N$96,MATCH($B14,'EFF-N_ANTC'!$A$6:$A$96,0),MATCH(G$5,'EFF-N_ANTC'!$J$5:$N$5,0)),"")</f>
        <v>0.25508715046378805</v>
      </c>
      <c r="H14" s="377">
        <f>IFERROR(INDEX('EFF-N_ANTC'!$J$6:$N$96,MATCH($B14,'EFF-N_ANTC'!$A$6:$A$96,0),MATCH(H$5,'EFF-N_ANTC'!$J$5:$N$5,0)),"")</f>
        <v>0.28205684025891897</v>
      </c>
      <c r="I14" s="377">
        <f>IFERROR(INDEX('EFF-N_ANTC'!$J$6:$N$96,MATCH($B14,'EFF-N_ANTC'!$A$6:$A$96,0),MATCH(I$5,'EFF-N_ANTC'!$J$5:$N$5,0)),"")</f>
        <v>0.31187796402994067</v>
      </c>
      <c r="J14" s="652">
        <v>1</v>
      </c>
      <c r="K14" s="652">
        <v>1</v>
      </c>
      <c r="L14" s="652">
        <v>1</v>
      </c>
      <c r="M14" s="652">
        <v>1</v>
      </c>
      <c r="N14" s="652">
        <v>1</v>
      </c>
      <c r="O14" s="379">
        <f>IFERROR(INDEX('CapUnit-N_ANTC'!$C$6:$C$96,MATCH($B14,'CapUnit-N_ANTC'!$A$6:$A$96,0)),"")</f>
        <v>2.4E-2</v>
      </c>
      <c r="P14" s="684">
        <f>IFERROR(0.001*INDEX(VehicleCostData!$N$13:$T$102,MATCH($B14,VehicleCostData!$A$13:$A$102,0),MATCH(P$5,VehicleCostData!$N$12:$T$12,0)),"")</f>
        <v>531.43336858461009</v>
      </c>
      <c r="Q14" s="684">
        <f>IFERROR(0.001*INDEX(VehicleCostData!$N$13:$T$102,MATCH($B14,VehicleCostData!$A$13:$A$102,0),MATCH(Q$5,VehicleCostData!$N$12:$T$12,0)),"")</f>
        <v>540.08959568363241</v>
      </c>
      <c r="R14" s="684">
        <f>IFERROR(0.001*INDEX(VehicleCostData!$N$13:$T$102,MATCH($B14,VehicleCostData!$A$13:$A$102,0),MATCH(R$5,VehicleCostData!$N$12:$T$12,0)),"")</f>
        <v>548.74582278265507</v>
      </c>
      <c r="S14" s="684">
        <f>IFERROR(0.001*INDEX(VehicleCostData!$N$13:$T$102,MATCH($B14,VehicleCostData!$A$13:$A$102,0),MATCH(S$5,VehicleCostData!$N$12:$T$12,0)),"")</f>
        <v>554.77116992257743</v>
      </c>
      <c r="T14" s="684">
        <f>IFERROR(0.001*INDEX(VehicleCostData!$N$13:$T$102,MATCH($B14,VehicleCostData!$A$13:$A$102,0),MATCH(T$5,VehicleCostData!$N$12:$T$12,0)),"")</f>
        <v>560.7965170624999</v>
      </c>
      <c r="U14" s="684">
        <f>IFERROR(0.001*INDEX(VehicleCostData!$N$13:$T$102,MATCH($B14,VehicleCostData!$A$13:$A$102,0),MATCH(U$5,VehicleCostData!$N$12:$T$12,0)),"")</f>
        <v>564.26965287362793</v>
      </c>
      <c r="V14" s="684">
        <f>IFERROR(0.001*INDEX(VehicleCostData!$N$13:$T$102,MATCH($B14,VehicleCostData!$A$13:$A$102,0),MATCH(V$5,VehicleCostData!$N$12:$T$12,0)),"")</f>
        <v>567.74278868475642</v>
      </c>
      <c r="W14" s="685">
        <f>IFERROR(0.001*INDEX(VehicleCostData!$V$13:$AB$102,MATCH($B14,VehicleCostData!$A$13:$A$102,0),MATCH(W$5,VehicleCostData!$V$12:$AB$12,0)),"")</f>
        <v>14.348700951784471</v>
      </c>
      <c r="X14" s="685">
        <f>IFERROR(0.001*INDEX(VehicleCostData!$V$13:$AB$102,MATCH($B14,VehicleCostData!$A$13:$A$102,0),MATCH(X$5,VehicleCostData!$V$12:$AB$12,0)),"")</f>
        <v>14.816137215131684</v>
      </c>
      <c r="Y14" s="685">
        <f>IFERROR(0.001*INDEX(VehicleCostData!$V$13:$AB$102,MATCH($B14,VehicleCostData!$A$13:$A$102,0),MATCH(Y$5,VehicleCostData!$V$12:$AB$12,0)),"")</f>
        <v>15.141505960687496</v>
      </c>
      <c r="Z14" s="685">
        <f>IFERROR(0.001*INDEX(VehicleCostData!$V$13:$AB$102,MATCH($B14,VehicleCostData!$A$13:$A$102,0),MATCH(Z$5,VehicleCostData!$V$12:$AB$12,0)),"")</f>
        <v>15.329055294488422</v>
      </c>
      <c r="AA14" s="652">
        <v>20</v>
      </c>
      <c r="AB14" s="652">
        <v>20</v>
      </c>
      <c r="AC14" s="694">
        <f t="shared" si="0"/>
        <v>2080</v>
      </c>
      <c r="AD14" s="688">
        <v>3</v>
      </c>
    </row>
    <row r="15" spans="2:30" x14ac:dyDescent="0.25">
      <c r="B15" s="385" t="str">
        <f>IF(ITEMS_Tech_N!D15="","",ITEMS_Tech_N!D15)</f>
        <v>TPPRSUVELC-N</v>
      </c>
      <c r="C15" s="232" t="str">
        <f>IF(ITEMS_Tech_N!E15="","",ITEMS_Tech_N!E15)</f>
        <v>Transport Passenger SUV Priv.Veh. Electricity-N</v>
      </c>
      <c r="D15" s="219" t="s">
        <v>412</v>
      </c>
      <c r="E15" s="219" t="s">
        <v>283</v>
      </c>
      <c r="F15" s="377">
        <f>IFERROR(INDEX('EFF-N_ANTC'!$J$6:$N$96,MATCH($B15,'EFF-N_ANTC'!$A$6:$A$96,0),MATCH(F$5,'EFF-N_ANTC'!$J$5:$N$5,0)),"")</f>
        <v>1.4993784101944536</v>
      </c>
      <c r="G15" s="377">
        <f>IFERROR(INDEX('EFF-N_ANTC'!$J$6:$N$96,MATCH($B15,'EFF-N_ANTC'!$A$6:$A$96,0),MATCH(G$5,'EFF-N_ANTC'!$J$5:$N$5,0)),"")</f>
        <v>1.6166131186170316</v>
      </c>
      <c r="H15" s="377">
        <f>IFERROR(INDEX('EFF-N_ANTC'!$J$6:$N$96,MATCH($B15,'EFF-N_ANTC'!$A$6:$A$96,0),MATCH(H$5,'EFF-N_ANTC'!$J$5:$N$5,0)),"")</f>
        <v>1.7875333482270686</v>
      </c>
      <c r="I15" s="377">
        <f>IFERROR(INDEX('EFF-N_ANTC'!$J$6:$N$96,MATCH($B15,'EFF-N_ANTC'!$A$6:$A$96,0),MATCH(I$5,'EFF-N_ANTC'!$J$5:$N$5,0)),"")</f>
        <v>1.9765245216847829</v>
      </c>
      <c r="J15" s="652">
        <v>1</v>
      </c>
      <c r="K15" s="652">
        <v>1</v>
      </c>
      <c r="L15" s="652">
        <v>1</v>
      </c>
      <c r="M15" s="652">
        <v>1</v>
      </c>
      <c r="N15" s="652">
        <v>1</v>
      </c>
      <c r="O15" s="379">
        <f>IFERROR(INDEX('CapUnit-N_ANTC'!$C$6:$C$96,MATCH($B15,'CapUnit-N_ANTC'!$A$6:$A$96,0)),"")</f>
        <v>2.4E-2</v>
      </c>
      <c r="P15" s="684">
        <f>IFERROR(0.001*INDEX(VehicleCostData!$N$13:$T$102,MATCH($B15,VehicleCostData!$A$13:$A$102,0),MATCH(P$5,VehicleCostData!$N$12:$T$12,0)),"")</f>
        <v>715.56754560985041</v>
      </c>
      <c r="Q15" s="684">
        <f>IFERROR(0.001*INDEX(VehicleCostData!$N$13:$T$102,MATCH($B15,VehicleCostData!$A$13:$A$102,0),MATCH(Q$5,VehicleCostData!$N$12:$T$12,0)),"")</f>
        <v>646.42656041122177</v>
      </c>
      <c r="R15" s="684">
        <f>IFERROR(0.001*INDEX(VehicleCostData!$N$13:$T$102,MATCH($B15,VehicleCostData!$A$13:$A$102,0),MATCH(R$5,VehicleCostData!$N$12:$T$12,0)),"")</f>
        <v>628.10003421399836</v>
      </c>
      <c r="S15" s="684">
        <f>IFERROR(0.001*INDEX(VehicleCostData!$N$13:$T$102,MATCH($B15,VehicleCostData!$A$13:$A$102,0),MATCH(S$5,VehicleCostData!$N$12:$T$12,0)),"")</f>
        <v>536.46740322787161</v>
      </c>
      <c r="T15" s="684">
        <f>IFERROR(0.001*INDEX(VehicleCostData!$N$13:$T$102,MATCH($B15,VehicleCostData!$A$13:$A$102,0),MATCH(T$5,VehicleCostData!$N$12:$T$12,0)),"")</f>
        <v>519.80692486675946</v>
      </c>
      <c r="U15" s="684">
        <f>IFERROR(0.001*INDEX(VehicleCostData!$N$13:$T$102,MATCH($B15,VehicleCostData!$A$13:$A$102,0),MATCH(U$5,VehicleCostData!$N$12:$T$12,0)),"")</f>
        <v>503.14644650564583</v>
      </c>
      <c r="V15" s="684">
        <f>IFERROR(0.001*INDEX(VehicleCostData!$N$13:$T$102,MATCH($B15,VehicleCostData!$A$13:$A$102,0),MATCH(V$5,VehicleCostData!$N$12:$T$12,0)),"")</f>
        <v>486.48596814453236</v>
      </c>
      <c r="W15" s="685">
        <f>IFERROR(0.001*INDEX(VehicleCostData!$V$13:$AB$102,MATCH($B15,VehicleCostData!$A$13:$A$102,0),MATCH(W$5,VehicleCostData!$V$12:$AB$12,0)),"")</f>
        <v>13.59578336658716</v>
      </c>
      <c r="X15" s="685">
        <f>IFERROR(0.001*INDEX(VehicleCostData!$V$13:$AB$102,MATCH($B15,VehicleCostData!$A$13:$A$102,0),MATCH(X$5,VehicleCostData!$V$12:$AB$12,0)),"")</f>
        <v>11.933900650065969</v>
      </c>
      <c r="Y15" s="685">
        <f>IFERROR(0.001*INDEX(VehicleCostData!$V$13:$AB$102,MATCH($B15,VehicleCostData!$A$13:$A$102,0),MATCH(Y$5,VehicleCostData!$V$12:$AB$12,0)),"")</f>
        <v>9.8763315724684286</v>
      </c>
      <c r="Z15" s="685">
        <f>IFERROR(0.001*INDEX(VehicleCostData!$V$13:$AB$102,MATCH($B15,VehicleCostData!$A$13:$A$102,0),MATCH(Z$5,VehicleCostData!$V$12:$AB$12,0)),"")</f>
        <v>9.2432333947461132</v>
      </c>
      <c r="AA15" s="652">
        <v>20</v>
      </c>
      <c r="AB15" s="652">
        <v>20</v>
      </c>
      <c r="AC15" s="694">
        <f t="shared" si="0"/>
        <v>2018</v>
      </c>
      <c r="AD15" s="688">
        <v>1</v>
      </c>
    </row>
    <row r="16" spans="2:30" x14ac:dyDescent="0.25">
      <c r="B16" s="385" t="str">
        <f>IF(ITEMS_Tech_N!D16="","",ITEMS_Tech_N!D16)</f>
        <v>*</v>
      </c>
      <c r="C16" s="232" t="str">
        <f>IF(ITEMS_Tech_N!E16="","",ITEMS_Tech_N!E16)</f>
        <v/>
      </c>
      <c r="D16" s="219"/>
      <c r="E16" s="219"/>
      <c r="F16" s="377">
        <f>IFERROR(INDEX('EFF-N_ANTC'!$J$6:$N$96,MATCH($B16,'EFF-N_ANTC'!$A$6:$A$96,0),MATCH(F$5,'EFF-N_ANTC'!$J$5:$N$5,0)),"")</f>
        <v>0.23658855771912971</v>
      </c>
      <c r="G16" s="377">
        <f>IFERROR(INDEX('EFF-N_ANTC'!$J$6:$N$96,MATCH($B16,'EFF-N_ANTC'!$A$6:$A$96,0),MATCH(G$5,'EFF-N_ANTC'!$J$5:$N$5,0)),"")</f>
        <v>0.25508715046378805</v>
      </c>
      <c r="H16" s="377">
        <f>IFERROR(INDEX('EFF-N_ANTC'!$J$6:$N$96,MATCH($B16,'EFF-N_ANTC'!$A$6:$A$96,0),MATCH(H$5,'EFF-N_ANTC'!$J$5:$N$5,0)),"")</f>
        <v>0.28205684025891897</v>
      </c>
      <c r="I16" s="377">
        <f>IFERROR(INDEX('EFF-N_ANTC'!$J$6:$N$96,MATCH($B16,'EFF-N_ANTC'!$A$6:$A$96,0),MATCH(I$5,'EFF-N_ANTC'!$J$5:$N$5,0)),"")</f>
        <v>0.31187796402994067</v>
      </c>
      <c r="J16" s="379"/>
      <c r="K16" s="379"/>
      <c r="L16" s="379"/>
      <c r="M16" s="379"/>
      <c r="N16" s="379"/>
      <c r="O16" s="379">
        <f>IFERROR(INDEX('CapUnit-N_ANTC'!$C$6:$C$96,MATCH($B16,'CapUnit-N_ANTC'!$A$6:$A$96,0)),"")</f>
        <v>2.4E-2</v>
      </c>
      <c r="P16" s="684">
        <f>IFERROR(0.001*INDEX(VehicleCostData!$N$13:$T$102,MATCH($B16,VehicleCostData!$A$13:$A$102,0),MATCH(P$5,VehicleCostData!$N$12:$T$12,0)),"")</f>
        <v>531.43336858461009</v>
      </c>
      <c r="Q16" s="684">
        <f>IFERROR(0.001*INDEX(VehicleCostData!$N$13:$T$102,MATCH($B16,VehicleCostData!$A$13:$A$102,0),MATCH(Q$5,VehicleCostData!$N$12:$T$12,0)),"")</f>
        <v>540.08959568363241</v>
      </c>
      <c r="R16" s="684">
        <f>IFERROR(0.001*INDEX(VehicleCostData!$N$13:$T$102,MATCH($B16,VehicleCostData!$A$13:$A$102,0),MATCH(R$5,VehicleCostData!$N$12:$T$12,0)),"")</f>
        <v>548.74582278265507</v>
      </c>
      <c r="S16" s="684">
        <f>IFERROR(0.001*INDEX(VehicleCostData!$N$13:$T$102,MATCH($B16,VehicleCostData!$A$13:$A$102,0),MATCH(S$5,VehicleCostData!$N$12:$T$12,0)),"")</f>
        <v>554.77116992257743</v>
      </c>
      <c r="T16" s="684">
        <f>IFERROR(0.001*INDEX(VehicleCostData!$N$13:$T$102,MATCH($B16,VehicleCostData!$A$13:$A$102,0),MATCH(T$5,VehicleCostData!$N$12:$T$12,0)),"")</f>
        <v>560.7965170624999</v>
      </c>
      <c r="U16" s="684">
        <f>IFERROR(0.001*INDEX(VehicleCostData!$N$13:$T$102,MATCH($B16,VehicleCostData!$A$13:$A$102,0),MATCH(U$5,VehicleCostData!$N$12:$T$12,0)),"")</f>
        <v>564.26965287362793</v>
      </c>
      <c r="V16" s="684">
        <f>IFERROR(0.001*INDEX(VehicleCostData!$N$13:$T$102,MATCH($B16,VehicleCostData!$A$13:$A$102,0),MATCH(V$5,VehicleCostData!$N$12:$T$12,0)),"")</f>
        <v>567.74278868475642</v>
      </c>
      <c r="W16" s="685">
        <f>IFERROR(0.001*INDEX(VehicleCostData!$V$13:$AB$102,MATCH($B16,VehicleCostData!$A$13:$A$102,0),MATCH(W$5,VehicleCostData!$V$12:$AB$12,0)),"")</f>
        <v>14.348700951784471</v>
      </c>
      <c r="X16" s="685">
        <f>IFERROR(0.001*INDEX(VehicleCostData!$V$13:$AB$102,MATCH($B16,VehicleCostData!$A$13:$A$102,0),MATCH(X$5,VehicleCostData!$V$12:$AB$12,0)),"")</f>
        <v>14.816137215131684</v>
      </c>
      <c r="Y16" s="685">
        <f>IFERROR(0.001*INDEX(VehicleCostData!$V$13:$AB$102,MATCH($B16,VehicleCostData!$A$13:$A$102,0),MATCH(Y$5,VehicleCostData!$V$12:$AB$12,0)),"")</f>
        <v>15.141505960687496</v>
      </c>
      <c r="Z16" s="685">
        <f>IFERROR(0.001*INDEX(VehicleCostData!$V$13:$AB$102,MATCH($B16,VehicleCostData!$A$13:$A$102,0),MATCH(Z$5,VehicleCostData!$V$12:$AB$12,0)),"")</f>
        <v>15.329055294488422</v>
      </c>
      <c r="AA16" s="686" t="s">
        <v>504</v>
      </c>
      <c r="AB16" s="686" t="s">
        <v>504</v>
      </c>
      <c r="AC16" s="694" t="str">
        <f t="shared" si="0"/>
        <v/>
      </c>
      <c r="AD16" s="689"/>
    </row>
    <row r="17" spans="2:30" x14ac:dyDescent="0.25">
      <c r="B17" s="385" t="str">
        <f>IF(ITEMS_Tech_N!D17="","",ITEMS_Tech_N!D17)</f>
        <v>*</v>
      </c>
      <c r="C17" s="232" t="str">
        <f>IF(ITEMS_Tech_N!E17="","",ITEMS_Tech_N!E17)</f>
        <v>Private Cars</v>
      </c>
      <c r="D17" s="219"/>
      <c r="E17" s="219"/>
      <c r="F17" s="377">
        <f>IFERROR(INDEX('EFF-N_ANTC'!$J$6:$N$96,MATCH($B17,'EFF-N_ANTC'!$A$6:$A$96,0),MATCH(F$5,'EFF-N_ANTC'!$J$5:$N$5,0)),"")</f>
        <v>0.23658855771912971</v>
      </c>
      <c r="G17" s="377">
        <f>IFERROR(INDEX('EFF-N_ANTC'!$J$6:$N$96,MATCH($B17,'EFF-N_ANTC'!$A$6:$A$96,0),MATCH(G$5,'EFF-N_ANTC'!$J$5:$N$5,0)),"")</f>
        <v>0.25508715046378805</v>
      </c>
      <c r="H17" s="377">
        <f>IFERROR(INDEX('EFF-N_ANTC'!$J$6:$N$96,MATCH($B17,'EFF-N_ANTC'!$A$6:$A$96,0),MATCH(H$5,'EFF-N_ANTC'!$J$5:$N$5,0)),"")</f>
        <v>0.28205684025891897</v>
      </c>
      <c r="I17" s="377">
        <f>IFERROR(INDEX('EFF-N_ANTC'!$J$6:$N$96,MATCH($B17,'EFF-N_ANTC'!$A$6:$A$96,0),MATCH(I$5,'EFF-N_ANTC'!$J$5:$N$5,0)),"")</f>
        <v>0.31187796402994067</v>
      </c>
      <c r="J17" s="379"/>
      <c r="K17" s="379"/>
      <c r="L17" s="379"/>
      <c r="M17" s="379"/>
      <c r="N17" s="379"/>
      <c r="O17" s="379">
        <f>IFERROR(INDEX('CapUnit-N_ANTC'!$C$6:$C$96,MATCH($B17,'CapUnit-N_ANTC'!$A$6:$A$96,0)),"")</f>
        <v>2.4E-2</v>
      </c>
      <c r="P17" s="684">
        <f>IFERROR(0.001*INDEX(VehicleCostData!$N$13:$T$102,MATCH($B17,VehicleCostData!$A$13:$A$102,0),MATCH(P$5,VehicleCostData!$N$12:$T$12,0)),"")</f>
        <v>531.43336858461009</v>
      </c>
      <c r="Q17" s="684">
        <f>IFERROR(0.001*INDEX(VehicleCostData!$N$13:$T$102,MATCH($B17,VehicleCostData!$A$13:$A$102,0),MATCH(Q$5,VehicleCostData!$N$12:$T$12,0)),"")</f>
        <v>540.08959568363241</v>
      </c>
      <c r="R17" s="684">
        <f>IFERROR(0.001*INDEX(VehicleCostData!$N$13:$T$102,MATCH($B17,VehicleCostData!$A$13:$A$102,0),MATCH(R$5,VehicleCostData!$N$12:$T$12,0)),"")</f>
        <v>548.74582278265507</v>
      </c>
      <c r="S17" s="684">
        <f>IFERROR(0.001*INDEX(VehicleCostData!$N$13:$T$102,MATCH($B17,VehicleCostData!$A$13:$A$102,0),MATCH(S$5,VehicleCostData!$N$12:$T$12,0)),"")</f>
        <v>554.77116992257743</v>
      </c>
      <c r="T17" s="684">
        <f>IFERROR(0.001*INDEX(VehicleCostData!$N$13:$T$102,MATCH($B17,VehicleCostData!$A$13:$A$102,0),MATCH(T$5,VehicleCostData!$N$12:$T$12,0)),"")</f>
        <v>560.7965170624999</v>
      </c>
      <c r="U17" s="684">
        <f>IFERROR(0.001*INDEX(VehicleCostData!$N$13:$T$102,MATCH($B17,VehicleCostData!$A$13:$A$102,0),MATCH(U$5,VehicleCostData!$N$12:$T$12,0)),"")</f>
        <v>564.26965287362793</v>
      </c>
      <c r="V17" s="684">
        <f>IFERROR(0.001*INDEX(VehicleCostData!$N$13:$T$102,MATCH($B17,VehicleCostData!$A$13:$A$102,0),MATCH(V$5,VehicleCostData!$N$12:$T$12,0)),"")</f>
        <v>567.74278868475642</v>
      </c>
      <c r="W17" s="685">
        <f>IFERROR(0.001*INDEX(VehicleCostData!$V$13:$AB$102,MATCH($B17,VehicleCostData!$A$13:$A$102,0),MATCH(W$5,VehicleCostData!$V$12:$AB$12,0)),"")</f>
        <v>14.348700951784471</v>
      </c>
      <c r="X17" s="685">
        <f>IFERROR(0.001*INDEX(VehicleCostData!$V$13:$AB$102,MATCH($B17,VehicleCostData!$A$13:$A$102,0),MATCH(X$5,VehicleCostData!$V$12:$AB$12,0)),"")</f>
        <v>14.816137215131684</v>
      </c>
      <c r="Y17" s="685">
        <f>IFERROR(0.001*INDEX(VehicleCostData!$V$13:$AB$102,MATCH($B17,VehicleCostData!$A$13:$A$102,0),MATCH(Y$5,VehicleCostData!$V$12:$AB$12,0)),"")</f>
        <v>15.141505960687496</v>
      </c>
      <c r="Z17" s="685">
        <f>IFERROR(0.001*INDEX(VehicleCostData!$V$13:$AB$102,MATCH($B17,VehicleCostData!$A$13:$A$102,0),MATCH(Z$5,VehicleCostData!$V$12:$AB$12,0)),"")</f>
        <v>15.329055294488422</v>
      </c>
      <c r="AA17" s="686" t="s">
        <v>504</v>
      </c>
      <c r="AB17" s="686" t="s">
        <v>504</v>
      </c>
      <c r="AC17" s="694" t="str">
        <f t="shared" si="0"/>
        <v/>
      </c>
      <c r="AD17" s="689"/>
    </row>
    <row r="18" spans="2:30" x14ac:dyDescent="0.25">
      <c r="B18" s="385" t="str">
        <f>IF(ITEMS_Tech_N!D18="","",ITEMS_Tech_N!D18)</f>
        <v>TPPRCARODS-N</v>
      </c>
      <c r="C18" s="232" t="str">
        <f>IF(ITEMS_Tech_N!E18="","",ITEMS_Tech_N!E18)</f>
        <v>Transport Passenger Car Priv.Veh. Oil Diesel-N</v>
      </c>
      <c r="D18" s="219" t="s">
        <v>411</v>
      </c>
      <c r="E18" s="219" t="s">
        <v>238</v>
      </c>
      <c r="F18" s="377">
        <f>IFERROR(INDEX('EFF-N_ANTC'!$J$6:$N$96,MATCH($B18,'EFF-N_ANTC'!$A$6:$A$96,0),MATCH(F$5,'EFF-N_ANTC'!$J$5:$N$5,0)),"")</f>
        <v>0.33703202380466663</v>
      </c>
      <c r="G18" s="377">
        <f>IFERROR(INDEX('EFF-N_ANTC'!$J$6:$N$96,MATCH($B18,'EFF-N_ANTC'!$A$6:$A$96,0),MATCH(G$5,'EFF-N_ANTC'!$J$5:$N$5,0)),"")</f>
        <v>0.36338417798480266</v>
      </c>
      <c r="H18" s="377">
        <f>IFERROR(INDEX('EFF-N_ANTC'!$J$6:$N$96,MATCH($B18,'EFF-N_ANTC'!$A$6:$A$96,0),MATCH(H$5,'EFF-N_ANTC'!$J$5:$N$5,0)),"")</f>
        <v>0.40180382608895143</v>
      </c>
      <c r="I18" s="377">
        <f>IFERROR(INDEX('EFF-N_ANTC'!$J$6:$N$96,MATCH($B18,'EFF-N_ANTC'!$A$6:$A$96,0),MATCH(I$5,'EFF-N_ANTC'!$J$5:$N$5,0)),"")</f>
        <v>0.4442854819795492</v>
      </c>
      <c r="J18" s="652">
        <v>1</v>
      </c>
      <c r="K18" s="652">
        <v>1</v>
      </c>
      <c r="L18" s="652">
        <v>1</v>
      </c>
      <c r="M18" s="652">
        <v>1</v>
      </c>
      <c r="N18" s="652">
        <v>1</v>
      </c>
      <c r="O18" s="379">
        <f>IFERROR(INDEX('CapUnit-N_ANTC'!$C$6:$C$96,MATCH($B18,'CapUnit-N_ANTC'!$A$6:$A$96,0)),"")</f>
        <v>2.2499999999999999E-2</v>
      </c>
      <c r="P18" s="684">
        <f>IFERROR(0.001*INDEX(VehicleCostData!$N$13:$T$102,MATCH($B18,VehicleCostData!$A$13:$A$102,0),MATCH(P$5,VehicleCostData!$N$12:$T$12,0)),"")</f>
        <v>338.41250876023662</v>
      </c>
      <c r="Q18" s="684">
        <f>IFERROR(0.001*INDEX(VehicleCostData!$N$13:$T$102,MATCH($B18,VehicleCostData!$A$13:$A$102,0),MATCH(Q$5,VehicleCostData!$N$12:$T$12,0)),"")</f>
        <v>343.92472478231377</v>
      </c>
      <c r="R18" s="684">
        <f>IFERROR(0.001*INDEX(VehicleCostData!$N$13:$T$102,MATCH($B18,VehicleCostData!$A$13:$A$102,0),MATCH(R$5,VehicleCostData!$N$12:$T$12,0)),"")</f>
        <v>349.43694080439104</v>
      </c>
      <c r="S18" s="684">
        <f>IFERROR(0.001*INDEX(VehicleCostData!$N$13:$T$102,MATCH($B18,VehicleCostData!$A$13:$A$102,0),MATCH(S$5,VehicleCostData!$N$12:$T$12,0)),"")</f>
        <v>353.27383355955089</v>
      </c>
      <c r="T18" s="684">
        <f>IFERROR(0.001*INDEX(VehicleCostData!$N$13:$T$102,MATCH($B18,VehicleCostData!$A$13:$A$102,0),MATCH(T$5,VehicleCostData!$N$12:$T$12,0)),"")</f>
        <v>357.11072631471069</v>
      </c>
      <c r="U18" s="684">
        <f>IFERROR(0.001*INDEX(VehicleCostData!$N$13:$T$102,MATCH($B18,VehicleCostData!$A$13:$A$102,0),MATCH(U$5,VehicleCostData!$N$12:$T$12,0)),"")</f>
        <v>359.3223913560671</v>
      </c>
      <c r="V18" s="684">
        <f>IFERROR(0.001*INDEX(VehicleCostData!$N$13:$T$102,MATCH($B18,VehicleCostData!$A$13:$A$102,0),MATCH(V$5,VehicleCostData!$N$12:$T$12,0)),"")</f>
        <v>361.53405639742368</v>
      </c>
      <c r="W18" s="685">
        <f>IFERROR(0.001*INDEX(VehicleCostData!$V$13:$AB$102,MATCH($B18,VehicleCostData!$A$13:$A$102,0),MATCH(W$5,VehicleCostData!$V$12:$AB$12,0)),"")</f>
        <v>9.1371377365263893</v>
      </c>
      <c r="X18" s="685">
        <f>IFERROR(0.001*INDEX(VehicleCostData!$V$13:$AB$102,MATCH($B18,VehicleCostData!$A$13:$A$102,0),MATCH(X$5,VehicleCostData!$V$12:$AB$12,0)),"")</f>
        <v>9.4347974017185585</v>
      </c>
      <c r="Y18" s="685">
        <f>IFERROR(0.001*INDEX(VehicleCostData!$V$13:$AB$102,MATCH($B18,VehicleCostData!$A$13:$A$102,0),MATCH(Y$5,VehicleCostData!$V$12:$AB$12,0)),"")</f>
        <v>9.6419896104971894</v>
      </c>
      <c r="Z18" s="685">
        <f>IFERROR(0.001*INDEX(VehicleCostData!$V$13:$AB$102,MATCH($B18,VehicleCostData!$A$13:$A$102,0),MATCH(Z$5,VehicleCostData!$V$12:$AB$12,0)),"")</f>
        <v>9.7614195227304386</v>
      </c>
      <c r="AA18" s="652">
        <v>23</v>
      </c>
      <c r="AB18" s="652">
        <v>23</v>
      </c>
      <c r="AC18" s="694">
        <f t="shared" si="0"/>
        <v>2018</v>
      </c>
      <c r="AD18" s="688">
        <v>1</v>
      </c>
    </row>
    <row r="19" spans="2:30" x14ac:dyDescent="0.25">
      <c r="B19" s="385" t="str">
        <f>IF(ITEMS_Tech_N!D19="","",ITEMS_Tech_N!D19)</f>
        <v>TPPRCAROGS-N</v>
      </c>
      <c r="C19" s="232" t="str">
        <f>IF(ITEMS_Tech_N!E19="","",ITEMS_Tech_N!E19)</f>
        <v>Transport Passenger Car Priv.Veh. Oil Gasoline-N</v>
      </c>
      <c r="D19" s="219" t="s">
        <v>413</v>
      </c>
      <c r="E19" s="219" t="s">
        <v>238</v>
      </c>
      <c r="F19" s="377">
        <f>IFERROR(INDEX('EFF-N_ANTC'!$J$6:$N$96,MATCH($B19,'EFF-N_ANTC'!$A$6:$A$96,0),MATCH(F$5,'EFF-N_ANTC'!$J$5:$N$5,0)),"")</f>
        <v>0.36226864396574021</v>
      </c>
      <c r="G19" s="377">
        <f>IFERROR(INDEX('EFF-N_ANTC'!$J$6:$N$96,MATCH($B19,'EFF-N_ANTC'!$A$6:$A$96,0),MATCH(G$5,'EFF-N_ANTC'!$J$5:$N$5,0)),"")</f>
        <v>0.39059402104013624</v>
      </c>
      <c r="H19" s="377">
        <f>IFERROR(INDEX('EFF-N_ANTC'!$J$6:$N$96,MATCH($B19,'EFF-N_ANTC'!$A$6:$A$96,0),MATCH(H$5,'EFF-N_ANTC'!$J$5:$N$5,0)),"")</f>
        <v>0.43189049388924888</v>
      </c>
      <c r="I19" s="377">
        <f>IFERROR(INDEX('EFF-N_ANTC'!$J$6:$N$96,MATCH($B19,'EFF-N_ANTC'!$A$6:$A$96,0),MATCH(I$5,'EFF-N_ANTC'!$J$5:$N$5,0)),"")</f>
        <v>0.47755313359682011</v>
      </c>
      <c r="J19" s="652">
        <v>1</v>
      </c>
      <c r="K19" s="652">
        <v>1</v>
      </c>
      <c r="L19" s="652">
        <v>1</v>
      </c>
      <c r="M19" s="652">
        <v>1</v>
      </c>
      <c r="N19" s="652">
        <v>1</v>
      </c>
      <c r="O19" s="379">
        <f>IFERROR(INDEX('CapUnit-N_ANTC'!$C$6:$C$96,MATCH($B19,'CapUnit-N_ANTC'!$A$6:$A$96,0)),"")</f>
        <v>1.9099999999999999E-2</v>
      </c>
      <c r="P19" s="684">
        <f>IFERROR(0.001*INDEX(VehicleCostData!$N$13:$T$102,MATCH($B19,VehicleCostData!$A$13:$A$102,0),MATCH(P$5,VehicleCostData!$N$12:$T$12,0)),"")</f>
        <v>286.40094851185762</v>
      </c>
      <c r="Q19" s="684">
        <f>IFERROR(0.001*INDEX(VehicleCostData!$N$13:$T$102,MATCH($B19,VehicleCostData!$A$13:$A$102,0),MATCH(Q$5,VehicleCostData!$N$12:$T$12,0)),"")</f>
        <v>291.06597671341166</v>
      </c>
      <c r="R19" s="684">
        <f>IFERROR(0.001*INDEX(VehicleCostData!$N$13:$T$102,MATCH($B19,VehicleCostData!$A$13:$A$102,0),MATCH(R$5,VehicleCostData!$N$12:$T$12,0)),"")</f>
        <v>295.73100491496575</v>
      </c>
      <c r="S19" s="684">
        <f>IFERROR(0.001*INDEX(VehicleCostData!$N$13:$T$102,MATCH($B19,VehicleCostData!$A$13:$A$102,0),MATCH(S$5,VehicleCostData!$N$12:$T$12,0)),"")</f>
        <v>298.97819494479592</v>
      </c>
      <c r="T19" s="684">
        <f>IFERROR(0.001*INDEX(VehicleCostData!$N$13:$T$102,MATCH($B19,VehicleCostData!$A$13:$A$102,0),MATCH(T$5,VehicleCostData!$N$12:$T$12,0)),"")</f>
        <v>302.22538497462608</v>
      </c>
      <c r="U19" s="684">
        <f>IFERROR(0.001*INDEX(VehicleCostData!$N$13:$T$102,MATCH($B19,VehicleCostData!$A$13:$A$102,0),MATCH(U$5,VehicleCostData!$N$12:$T$12,0)),"")</f>
        <v>304.09713306087593</v>
      </c>
      <c r="V19" s="684">
        <f>IFERROR(0.001*INDEX(VehicleCostData!$N$13:$T$102,MATCH($B19,VehicleCostData!$A$13:$A$102,0),MATCH(V$5,VehicleCostData!$N$12:$T$12,0)),"")</f>
        <v>305.96888114712596</v>
      </c>
      <c r="W19" s="685">
        <f>IFERROR(0.001*INDEX(VehicleCostData!$V$13:$AB$102,MATCH($B19,VehicleCostData!$A$13:$A$102,0),MATCH(W$5,VehicleCostData!$V$12:$AB$12,0)),"")</f>
        <v>7.7328256098201553</v>
      </c>
      <c r="X19" s="685">
        <f>IFERROR(0.001*INDEX(VehicleCostData!$V$13:$AB$102,MATCH($B19,VehicleCostData!$A$13:$A$102,0),MATCH(X$5,VehicleCostData!$V$12:$AB$12,0)),"")</f>
        <v>7.9847371327040753</v>
      </c>
      <c r="Y19" s="685">
        <f>IFERROR(0.001*INDEX(VehicleCostData!$V$13:$AB$102,MATCH($B19,VehicleCostData!$A$13:$A$102,0),MATCH(Y$5,VehicleCostData!$V$12:$AB$12,0)),"")</f>
        <v>8.1600853943149048</v>
      </c>
      <c r="Z19" s="685">
        <f>IFERROR(0.001*INDEX(VehicleCostData!$V$13:$AB$102,MATCH($B19,VehicleCostData!$A$13:$A$102,0),MATCH(Z$5,VehicleCostData!$V$12:$AB$12,0)),"")</f>
        <v>8.2611597909724015</v>
      </c>
      <c r="AA19" s="652">
        <v>23</v>
      </c>
      <c r="AB19" s="652">
        <v>23</v>
      </c>
      <c r="AC19" s="694">
        <f t="shared" si="0"/>
        <v>2018</v>
      </c>
      <c r="AD19" s="688">
        <v>1</v>
      </c>
    </row>
    <row r="20" spans="2:30" x14ac:dyDescent="0.25">
      <c r="B20" s="385" t="str">
        <f>IF(ITEMS_Tech_N!D20="","",ITEMS_Tech_N!D20)</f>
        <v>*</v>
      </c>
      <c r="C20" s="232" t="str">
        <f>IF(ITEMS_Tech_N!E20="","",ITEMS_Tech_N!E20)</f>
        <v>Transport Passenger Car Priv.Veh. Oil Diesel Hybrid-N</v>
      </c>
      <c r="D20" s="219" t="s">
        <v>411</v>
      </c>
      <c r="E20" s="219" t="s">
        <v>238</v>
      </c>
      <c r="F20" s="377">
        <f>IFERROR(INDEX('EFF-N_ANTC'!$J$6:$N$96,MATCH($B20,'EFF-N_ANTC'!$A$6:$A$96,0),MATCH(F$5,'EFF-N_ANTC'!$J$5:$N$5,0)),"")</f>
        <v>0.23658855771912971</v>
      </c>
      <c r="G20" s="377">
        <f>IFERROR(INDEX('EFF-N_ANTC'!$J$6:$N$96,MATCH($B20,'EFF-N_ANTC'!$A$6:$A$96,0),MATCH(G$5,'EFF-N_ANTC'!$J$5:$N$5,0)),"")</f>
        <v>0.25508715046378805</v>
      </c>
      <c r="H20" s="377">
        <f>IFERROR(INDEX('EFF-N_ANTC'!$J$6:$N$96,MATCH($B20,'EFF-N_ANTC'!$A$6:$A$96,0),MATCH(H$5,'EFF-N_ANTC'!$J$5:$N$5,0)),"")</f>
        <v>0.28205684025891897</v>
      </c>
      <c r="I20" s="377">
        <f>IFERROR(INDEX('EFF-N_ANTC'!$J$6:$N$96,MATCH($B20,'EFF-N_ANTC'!$A$6:$A$96,0),MATCH(I$5,'EFF-N_ANTC'!$J$5:$N$5,0)),"")</f>
        <v>0.31187796402994067</v>
      </c>
      <c r="J20" s="652">
        <v>1</v>
      </c>
      <c r="K20" s="652">
        <v>1</v>
      </c>
      <c r="L20" s="652">
        <v>1</v>
      </c>
      <c r="M20" s="652">
        <v>1</v>
      </c>
      <c r="N20" s="652">
        <v>1</v>
      </c>
      <c r="O20" s="379">
        <f>IFERROR(INDEX('CapUnit-N_ANTC'!$C$6:$C$96,MATCH($B20,'CapUnit-N_ANTC'!$A$6:$A$96,0)),"")</f>
        <v>2.4E-2</v>
      </c>
      <c r="P20" s="684">
        <f>IFERROR(0.001*INDEX(VehicleCostData!$N$13:$T$102,MATCH($B20,VehicleCostData!$A$13:$A$102,0),MATCH(P$5,VehicleCostData!$N$12:$T$12,0)),"")</f>
        <v>531.43336858461009</v>
      </c>
      <c r="Q20" s="684">
        <f>IFERROR(0.001*INDEX(VehicleCostData!$N$13:$T$102,MATCH($B20,VehicleCostData!$A$13:$A$102,0),MATCH(Q$5,VehicleCostData!$N$12:$T$12,0)),"")</f>
        <v>540.08959568363241</v>
      </c>
      <c r="R20" s="684">
        <f>IFERROR(0.001*INDEX(VehicleCostData!$N$13:$T$102,MATCH($B20,VehicleCostData!$A$13:$A$102,0),MATCH(R$5,VehicleCostData!$N$12:$T$12,0)),"")</f>
        <v>548.74582278265507</v>
      </c>
      <c r="S20" s="684">
        <f>IFERROR(0.001*INDEX(VehicleCostData!$N$13:$T$102,MATCH($B20,VehicleCostData!$A$13:$A$102,0),MATCH(S$5,VehicleCostData!$N$12:$T$12,0)),"")</f>
        <v>554.77116992257743</v>
      </c>
      <c r="T20" s="684">
        <f>IFERROR(0.001*INDEX(VehicleCostData!$N$13:$T$102,MATCH($B20,VehicleCostData!$A$13:$A$102,0),MATCH(T$5,VehicleCostData!$N$12:$T$12,0)),"")</f>
        <v>560.7965170624999</v>
      </c>
      <c r="U20" s="684">
        <f>IFERROR(0.001*INDEX(VehicleCostData!$N$13:$T$102,MATCH($B20,VehicleCostData!$A$13:$A$102,0),MATCH(U$5,VehicleCostData!$N$12:$T$12,0)),"")</f>
        <v>564.26965287362793</v>
      </c>
      <c r="V20" s="684">
        <f>IFERROR(0.001*INDEX(VehicleCostData!$N$13:$T$102,MATCH($B20,VehicleCostData!$A$13:$A$102,0),MATCH(V$5,VehicleCostData!$N$12:$T$12,0)),"")</f>
        <v>567.74278868475642</v>
      </c>
      <c r="W20" s="685">
        <f>IFERROR(0.001*INDEX(VehicleCostData!$V$13:$AB$102,MATCH($B20,VehicleCostData!$A$13:$A$102,0),MATCH(W$5,VehicleCostData!$V$12:$AB$12,0)),"")</f>
        <v>14.348700951784471</v>
      </c>
      <c r="X20" s="685">
        <f>IFERROR(0.001*INDEX(VehicleCostData!$V$13:$AB$102,MATCH($B20,VehicleCostData!$A$13:$A$102,0),MATCH(X$5,VehicleCostData!$V$12:$AB$12,0)),"")</f>
        <v>14.816137215131684</v>
      </c>
      <c r="Y20" s="685">
        <f>IFERROR(0.001*INDEX(VehicleCostData!$V$13:$AB$102,MATCH($B20,VehicleCostData!$A$13:$A$102,0),MATCH(Y$5,VehicleCostData!$V$12:$AB$12,0)),"")</f>
        <v>15.141505960687496</v>
      </c>
      <c r="Z20" s="685">
        <f>IFERROR(0.001*INDEX(VehicleCostData!$V$13:$AB$102,MATCH($B20,VehicleCostData!$A$13:$A$102,0),MATCH(Z$5,VehicleCostData!$V$12:$AB$12,0)),"")</f>
        <v>15.329055294488422</v>
      </c>
      <c r="AA20" s="652">
        <v>23</v>
      </c>
      <c r="AB20" s="652">
        <v>23</v>
      </c>
      <c r="AC20" s="694">
        <f t="shared" si="0"/>
        <v>2080</v>
      </c>
      <c r="AD20" s="688">
        <v>3</v>
      </c>
    </row>
    <row r="21" spans="2:30" x14ac:dyDescent="0.25">
      <c r="B21" s="385" t="str">
        <f>IF(ITEMS_Tech_N!D21="","",ITEMS_Tech_N!D21)</f>
        <v>TPPRCAROGSH-N</v>
      </c>
      <c r="C21" s="232" t="str">
        <f>IF(ITEMS_Tech_N!E21="","",ITEMS_Tech_N!E21)</f>
        <v>Transport Passenger Car Priv.Veh. Oil Gasoline Hybrid-N</v>
      </c>
      <c r="D21" s="219" t="s">
        <v>413</v>
      </c>
      <c r="E21" s="219" t="s">
        <v>238</v>
      </c>
      <c r="F21" s="377">
        <f>IFERROR(INDEX('EFF-N_ANTC'!$J$6:$N$96,MATCH($B21,'EFF-N_ANTC'!$A$6:$A$96,0),MATCH(F$5,'EFF-N_ANTC'!$J$5:$N$5,0)),"")</f>
        <v>0.49371088525455686</v>
      </c>
      <c r="G21" s="377">
        <f>IFERROR(INDEX('EFF-N_ANTC'!$J$6:$N$96,MATCH($B21,'EFF-N_ANTC'!$A$6:$A$96,0),MATCH(G$5,'EFF-N_ANTC'!$J$5:$N$5,0)),"")</f>
        <v>0.53231358306875598</v>
      </c>
      <c r="H21" s="377">
        <f>IFERROR(INDEX('EFF-N_ANTC'!$J$6:$N$96,MATCH($B21,'EFF-N_ANTC'!$A$6:$A$96,0),MATCH(H$5,'EFF-N_ANTC'!$J$5:$N$5,0)),"")</f>
        <v>0.58859369040852982</v>
      </c>
      <c r="I21" s="377">
        <f>IFERROR(INDEX('EFF-N_ANTC'!$J$6:$N$96,MATCH($B21,'EFF-N_ANTC'!$A$6:$A$96,0),MATCH(I$5,'EFF-N_ANTC'!$J$5:$N$5,0)),"")</f>
        <v>0.65082414465456961</v>
      </c>
      <c r="J21" s="652">
        <v>1</v>
      </c>
      <c r="K21" s="652">
        <v>1</v>
      </c>
      <c r="L21" s="652">
        <v>1</v>
      </c>
      <c r="M21" s="652">
        <v>1</v>
      </c>
      <c r="N21" s="652">
        <v>1</v>
      </c>
      <c r="O21" s="379">
        <f>IFERROR(INDEX('CapUnit-N_ANTC'!$C$6:$C$96,MATCH($B21,'CapUnit-N_ANTC'!$A$6:$A$96,0)),"")</f>
        <v>1.9099999999999999E-2</v>
      </c>
      <c r="P21" s="684">
        <f>IFERROR(0.001*INDEX(VehicleCostData!$N$13:$T$102,MATCH($B21,VehicleCostData!$A$13:$A$102,0),MATCH(P$5,VehicleCostData!$N$12:$T$12,0)),"")</f>
        <v>411.88659587750823</v>
      </c>
      <c r="Q21" s="684">
        <f>IFERROR(0.001*INDEX(VehicleCostData!$N$13:$T$102,MATCH($B21,VehicleCostData!$A$13:$A$102,0),MATCH(Q$5,VehicleCostData!$N$12:$T$12,0)),"")</f>
        <v>383.82469519934062</v>
      </c>
      <c r="R21" s="684">
        <f>IFERROR(0.001*INDEX(VehicleCostData!$N$13:$T$102,MATCH($B21,VehicleCostData!$A$13:$A$102,0),MATCH(R$5,VehicleCostData!$N$12:$T$12,0)),"")</f>
        <v>379.14390623349612</v>
      </c>
      <c r="S21" s="684">
        <f>IFERROR(0.001*INDEX(VehicleCostData!$N$13:$T$102,MATCH($B21,VehicleCostData!$A$13:$A$102,0),MATCH(S$5,VehicleCostData!$N$12:$T$12,0)),"")</f>
        <v>355.73996140426772</v>
      </c>
      <c r="T21" s="684">
        <f>IFERROR(0.001*INDEX(VehicleCostData!$N$13:$T$102,MATCH($B21,VehicleCostData!$A$13:$A$102,0),MATCH(T$5,VehicleCostData!$N$12:$T$12,0)),"")</f>
        <v>356.32506002499821</v>
      </c>
      <c r="U21" s="684">
        <f>IFERROR(0.001*INDEX(VehicleCostData!$N$13:$T$102,MATCH($B21,VehicleCostData!$A$13:$A$102,0),MATCH(U$5,VehicleCostData!$N$12:$T$12,0)),"")</f>
        <v>356.91015864572898</v>
      </c>
      <c r="V21" s="684">
        <f>IFERROR(0.001*INDEX(VehicleCostData!$N$13:$T$102,MATCH($B21,VehicleCostData!$A$13:$A$102,0),MATCH(V$5,VehicleCostData!$N$12:$T$12,0)),"")</f>
        <v>357.49525726645965</v>
      </c>
      <c r="W21" s="685">
        <f>IFERROR(0.001*INDEX(VehicleCostData!$V$13:$AB$102,MATCH($B21,VehicleCostData!$A$13:$A$102,0),MATCH(W$5,VehicleCostData!$V$12:$AB$12,0)),"")</f>
        <v>11.120938088692721</v>
      </c>
      <c r="X21" s="685">
        <f>IFERROR(0.001*INDEX(VehicleCostData!$V$13:$AB$102,MATCH($B21,VehicleCostData!$A$13:$A$102,0),MATCH(X$5,VehicleCostData!$V$12:$AB$12,0)),"")</f>
        <v>10.236885468304393</v>
      </c>
      <c r="Y21" s="685">
        <f>IFERROR(0.001*INDEX(VehicleCostData!$V$13:$AB$102,MATCH($B21,VehicleCostData!$A$13:$A$102,0),MATCH(Y$5,VehicleCostData!$V$12:$AB$12,0)),"")</f>
        <v>9.6207766206749508</v>
      </c>
      <c r="Z21" s="685">
        <f>IFERROR(0.001*INDEX(VehicleCostData!$V$13:$AB$102,MATCH($B21,VehicleCostData!$A$13:$A$102,0),MATCH(Z$5,VehicleCostData!$V$12:$AB$12,0)),"")</f>
        <v>9.6523719461944086</v>
      </c>
      <c r="AA21" s="652">
        <v>23</v>
      </c>
      <c r="AB21" s="652">
        <v>23</v>
      </c>
      <c r="AC21" s="694">
        <f t="shared" si="0"/>
        <v>2018</v>
      </c>
      <c r="AD21" s="688">
        <v>1</v>
      </c>
    </row>
    <row r="22" spans="2:30" x14ac:dyDescent="0.25">
      <c r="B22" s="385" t="str">
        <f>IF(ITEMS_Tech_N!D22="","",ITEMS_Tech_N!D22)</f>
        <v>TPPRCAROGSP-N</v>
      </c>
      <c r="C22" s="232" t="str">
        <f>IF(ITEMS_Tech_N!E22="","",ITEMS_Tech_N!E22)</f>
        <v>Transport Passenger Car Priv.Veh. Oil Gasoline Plug-in Hybrid-N</v>
      </c>
      <c r="D22" s="219" t="s">
        <v>413</v>
      </c>
      <c r="E22" s="219" t="s">
        <v>238</v>
      </c>
      <c r="F22" s="377">
        <f>IFERROR(INDEX('EFF-N_ANTC'!$J$6:$N$96,MATCH($B22,'EFF-N_ANTC'!$A$6:$A$96,0),MATCH(F$5,'EFF-N_ANTC'!$J$5:$N$5,0)),"")</f>
        <v>0.74311122935221963</v>
      </c>
      <c r="G22" s="377">
        <f>IFERROR(INDEX('EFF-N_ANTC'!$J$6:$N$96,MATCH($B22,'EFF-N_ANTC'!$A$6:$A$96,0),MATCH(G$5,'EFF-N_ANTC'!$J$5:$N$5,0)),"")</f>
        <v>0.8012142590519421</v>
      </c>
      <c r="H22" s="377">
        <f>IFERROR(INDEX('EFF-N_ANTC'!$J$6:$N$96,MATCH($B22,'EFF-N_ANTC'!$A$6:$A$96,0),MATCH(H$5,'EFF-N_ANTC'!$J$5:$N$5,0)),"")</f>
        <v>0.88592452370768426</v>
      </c>
      <c r="I22" s="377">
        <f>IFERROR(INDEX('EFF-N_ANTC'!$J$6:$N$96,MATCH($B22,'EFF-N_ANTC'!$A$6:$A$96,0),MATCH(I$5,'EFF-N_ANTC'!$J$5:$N$5,0)),"")</f>
        <v>0.97959098061409455</v>
      </c>
      <c r="J22" s="652">
        <v>1</v>
      </c>
      <c r="K22" s="652">
        <v>1</v>
      </c>
      <c r="L22" s="652">
        <v>1</v>
      </c>
      <c r="M22" s="652">
        <v>1</v>
      </c>
      <c r="N22" s="652">
        <v>1</v>
      </c>
      <c r="O22" s="379">
        <f>IFERROR(INDEX('CapUnit-N_ANTC'!$C$6:$C$96,MATCH($B22,'CapUnit-N_ANTC'!$A$6:$A$96,0)),"")</f>
        <v>1.9099999999999999E-2</v>
      </c>
      <c r="P22" s="684">
        <f>IFERROR(0.001*INDEX(VehicleCostData!$N$13:$T$102,MATCH($B22,VehicleCostData!$A$13:$A$102,0),MATCH(P$5,VehicleCostData!$N$12:$T$12,0)),"")</f>
        <v>594.27251573798969</v>
      </c>
      <c r="Q22" s="684">
        <f>IFERROR(0.001*INDEX(VehicleCostData!$N$13:$T$102,MATCH($B22,VehicleCostData!$A$13:$A$102,0),MATCH(Q$5,VehicleCostData!$N$12:$T$12,0)),"")</f>
        <v>553.78463271553824</v>
      </c>
      <c r="R22" s="684">
        <f>IFERROR(0.001*INDEX(VehicleCostData!$N$13:$T$102,MATCH($B22,VehicleCostData!$A$13:$A$102,0),MATCH(R$5,VehicleCostData!$N$12:$T$12,0)),"")</f>
        <v>547.0311615848625</v>
      </c>
      <c r="S22" s="684">
        <f>IFERROR(0.001*INDEX(VehicleCostData!$N$13:$T$102,MATCH($B22,VehicleCostData!$A$13:$A$102,0),MATCH(S$5,VehicleCostData!$N$12:$T$12,0)),"")</f>
        <v>513.26380593147553</v>
      </c>
      <c r="T22" s="684">
        <f>IFERROR(0.001*INDEX(VehicleCostData!$N$13:$T$102,MATCH($B22,VehicleCostData!$A$13:$A$102,0),MATCH(T$5,VehicleCostData!$N$12:$T$12,0)),"")</f>
        <v>514.10798982281005</v>
      </c>
      <c r="U22" s="684">
        <f>IFERROR(0.001*INDEX(VehicleCostData!$N$13:$T$102,MATCH($B22,VehicleCostData!$A$13:$A$102,0),MATCH(U$5,VehicleCostData!$N$12:$T$12,0)),"")</f>
        <v>514.95217371414469</v>
      </c>
      <c r="V22" s="684">
        <f>IFERROR(0.001*INDEX(VehicleCostData!$N$13:$T$102,MATCH($B22,VehicleCostData!$A$13:$A$102,0),MATCH(V$5,VehicleCostData!$N$12:$T$12,0)),"")</f>
        <v>515.79635760547933</v>
      </c>
      <c r="W22" s="685">
        <f>IFERROR(0.001*INDEX(VehicleCostData!$V$13:$AB$102,MATCH($B22,VehicleCostData!$A$13:$A$102,0),MATCH(W$5,VehicleCostData!$V$12:$AB$12,0)),"")</f>
        <v>16.045357924925721</v>
      </c>
      <c r="X22" s="685">
        <f>IFERROR(0.001*INDEX(VehicleCostData!$V$13:$AB$102,MATCH($B22,VehicleCostData!$A$13:$A$102,0),MATCH(X$5,VehicleCostData!$V$12:$AB$12,0)),"")</f>
        <v>14.769841362791286</v>
      </c>
      <c r="Y22" s="685">
        <f>IFERROR(0.001*INDEX(VehicleCostData!$V$13:$AB$102,MATCH($B22,VehicleCostData!$A$13:$A$102,0),MATCH(Y$5,VehicleCostData!$V$12:$AB$12,0)),"")</f>
        <v>13.880915725215869</v>
      </c>
      <c r="Z22" s="685">
        <f>IFERROR(0.001*INDEX(VehicleCostData!$V$13:$AB$102,MATCH($B22,VehicleCostData!$A$13:$A$102,0),MATCH(Z$5,VehicleCostData!$V$12:$AB$12,0)),"")</f>
        <v>13.926501655347941</v>
      </c>
      <c r="AA22" s="652">
        <v>23</v>
      </c>
      <c r="AB22" s="652">
        <v>23</v>
      </c>
      <c r="AC22" s="694">
        <f t="shared" si="0"/>
        <v>2018</v>
      </c>
      <c r="AD22" s="688">
        <v>1</v>
      </c>
    </row>
    <row r="23" spans="2:30" x14ac:dyDescent="0.25">
      <c r="B23" s="385" t="str">
        <f>IF(ITEMS_Tech_N!D23="","",ITEMS_Tech_N!D23)</f>
        <v>TPPRCARELC-N</v>
      </c>
      <c r="C23" s="232" t="str">
        <f>IF(ITEMS_Tech_N!E23="","",ITEMS_Tech_N!E23)</f>
        <v>Transport Passenger Car Priv.Veh. Electricity-N</v>
      </c>
      <c r="D23" s="219" t="s">
        <v>412</v>
      </c>
      <c r="E23" s="219" t="s">
        <v>238</v>
      </c>
      <c r="F23" s="377">
        <f>IFERROR(INDEX('EFF-N_ANTC'!$J$6:$N$96,MATCH($B23,'EFF-N_ANTC'!$A$6:$A$96,0),MATCH(F$5,'EFF-N_ANTC'!$J$5:$N$5,0)),"")</f>
        <v>1.6246241542424782</v>
      </c>
      <c r="G23" s="377">
        <f>IFERROR(INDEX('EFF-N_ANTC'!$J$6:$N$96,MATCH($B23,'EFF-N_ANTC'!$A$6:$A$96,0),MATCH(G$5,'EFF-N_ANTC'!$J$5:$N$5,0)),"")</f>
        <v>1.751651686267695</v>
      </c>
      <c r="H23" s="377">
        <f>IFERROR(INDEX('EFF-N_ANTC'!$J$6:$N$96,MATCH($B23,'EFF-N_ANTC'!$A$6:$A$96,0),MATCH(H$5,'EFF-N_ANTC'!$J$5:$N$5,0)),"")</f>
        <v>1.9368491865018911</v>
      </c>
      <c r="I23" s="377">
        <f>IFERROR(INDEX('EFF-N_ANTC'!$J$6:$N$96,MATCH($B23,'EFF-N_ANTC'!$A$6:$A$96,0),MATCH(I$5,'EFF-N_ANTC'!$J$5:$N$5,0)),"")</f>
        <v>2.1416271286480724</v>
      </c>
      <c r="J23" s="652">
        <v>1</v>
      </c>
      <c r="K23" s="652">
        <v>1</v>
      </c>
      <c r="L23" s="652">
        <v>1</v>
      </c>
      <c r="M23" s="652">
        <v>1</v>
      </c>
      <c r="N23" s="652">
        <v>1</v>
      </c>
      <c r="O23" s="379">
        <f>IFERROR(INDEX('CapUnit-N_ANTC'!$C$6:$C$96,MATCH($B23,'CapUnit-N_ANTC'!$A$6:$A$96,0)),"")</f>
        <v>1.9099999999999999E-2</v>
      </c>
      <c r="P23" s="684">
        <f>IFERROR(0.001*INDEX(VehicleCostData!$N$13:$T$102,MATCH($B23,VehicleCostData!$A$13:$A$102,0),MATCH(P$5,VehicleCostData!$N$12:$T$12,0)),"")</f>
        <v>490.93478461932631</v>
      </c>
      <c r="Q23" s="684">
        <f>IFERROR(0.001*INDEX(VehicleCostData!$N$13:$T$102,MATCH($B23,VehicleCostData!$A$13:$A$102,0),MATCH(Q$5,VehicleCostData!$N$12:$T$12,0)),"")</f>
        <v>443.49871113456834</v>
      </c>
      <c r="R23" s="684">
        <f>IFERROR(0.001*INDEX(VehicleCostData!$N$13:$T$102,MATCH($B23,VehicleCostData!$A$13:$A$102,0),MATCH(R$5,VehicleCostData!$N$12:$T$12,0)),"")</f>
        <v>430.92529406632156</v>
      </c>
      <c r="S23" s="684">
        <f>IFERROR(0.001*INDEX(VehicleCostData!$N$13:$T$102,MATCH($B23,VehicleCostData!$A$13:$A$102,0),MATCH(S$5,VehicleCostData!$N$12:$T$12,0)),"")</f>
        <v>368.05820872508122</v>
      </c>
      <c r="T23" s="684">
        <f>IFERROR(0.001*INDEX(VehicleCostData!$N$13:$T$102,MATCH($B23,VehicleCostData!$A$13:$A$102,0),MATCH(T$5,VehicleCostData!$N$12:$T$12,0)),"")</f>
        <v>356.62782957212966</v>
      </c>
      <c r="U23" s="684">
        <f>IFERROR(0.001*INDEX(VehicleCostData!$N$13:$T$102,MATCH($B23,VehicleCostData!$A$13:$A$102,0),MATCH(U$5,VehicleCostData!$N$12:$T$12,0)),"")</f>
        <v>345.19745041917713</v>
      </c>
      <c r="V23" s="684">
        <f>IFERROR(0.001*INDEX(VehicleCostData!$N$13:$T$102,MATCH($B23,VehicleCostData!$A$13:$A$102,0),MATCH(V$5,VehicleCostData!$N$12:$T$12,0)),"")</f>
        <v>333.76707126622466</v>
      </c>
      <c r="W23" s="685">
        <f>IFERROR(0.001*INDEX(VehicleCostData!$V$13:$AB$102,MATCH($B23,VehicleCostData!$A$13:$A$102,0),MATCH(W$5,VehicleCostData!$V$12:$AB$12,0)),"")</f>
        <v>9.3277609077671997</v>
      </c>
      <c r="X23" s="685">
        <f>IFERROR(0.001*INDEX(VehicleCostData!$V$13:$AB$102,MATCH($B23,VehicleCostData!$A$13:$A$102,0),MATCH(X$5,VehicleCostData!$V$12:$AB$12,0)),"")</f>
        <v>8.1875805872601095</v>
      </c>
      <c r="Y23" s="685">
        <f>IFERROR(0.001*INDEX(VehicleCostData!$V$13:$AB$102,MATCH($B23,VehicleCostData!$A$13:$A$102,0),MATCH(Y$5,VehicleCostData!$V$12:$AB$12,0)),"")</f>
        <v>6.7759287618704631</v>
      </c>
      <c r="Z23" s="685">
        <f>IFERROR(0.001*INDEX(VehicleCostData!$V$13:$AB$102,MATCH($B23,VehicleCostData!$A$13:$A$102,0),MATCH(Z$5,VehicleCostData!$V$12:$AB$12,0)),"")</f>
        <v>6.3415743540582694</v>
      </c>
      <c r="AA23" s="652">
        <v>23</v>
      </c>
      <c r="AB23" s="652">
        <v>23</v>
      </c>
      <c r="AC23" s="694">
        <f t="shared" si="0"/>
        <v>2018</v>
      </c>
      <c r="AD23" s="688">
        <v>1</v>
      </c>
    </row>
    <row r="24" spans="2:30" x14ac:dyDescent="0.25">
      <c r="B24" s="385" t="str">
        <f>IF(ITEMS_Tech_N!D24="","",ITEMS_Tech_N!D24)</f>
        <v>*</v>
      </c>
      <c r="C24" s="232" t="str">
        <f>IF(ITEMS_Tech_N!E24="","",ITEMS_Tech_N!E24)</f>
        <v>Transport Passenger Car Priv.Veh. Gas-N</v>
      </c>
      <c r="D24" s="219" t="s">
        <v>563</v>
      </c>
      <c r="E24" s="219" t="s">
        <v>238</v>
      </c>
      <c r="F24" s="377">
        <f>IFERROR(INDEX('EFF-N_ANTC'!$J$6:$N$96,MATCH($B24,'EFF-N_ANTC'!$A$6:$A$96,0),MATCH(F$5,'EFF-N_ANTC'!$J$5:$N$5,0)),"")</f>
        <v>0.23658855771912971</v>
      </c>
      <c r="G24" s="377">
        <f>IFERROR(INDEX('EFF-N_ANTC'!$J$6:$N$96,MATCH($B24,'EFF-N_ANTC'!$A$6:$A$96,0),MATCH(G$5,'EFF-N_ANTC'!$J$5:$N$5,0)),"")</f>
        <v>0.25508715046378805</v>
      </c>
      <c r="H24" s="377">
        <f>IFERROR(INDEX('EFF-N_ANTC'!$J$6:$N$96,MATCH($B24,'EFF-N_ANTC'!$A$6:$A$96,0),MATCH(H$5,'EFF-N_ANTC'!$J$5:$N$5,0)),"")</f>
        <v>0.28205684025891897</v>
      </c>
      <c r="I24" s="377">
        <f>IFERROR(INDEX('EFF-N_ANTC'!$J$6:$N$96,MATCH($B24,'EFF-N_ANTC'!$A$6:$A$96,0),MATCH(I$5,'EFF-N_ANTC'!$J$5:$N$5,0)),"")</f>
        <v>0.31187796402994067</v>
      </c>
      <c r="J24" s="652">
        <v>1</v>
      </c>
      <c r="K24" s="652">
        <v>1</v>
      </c>
      <c r="L24" s="652">
        <v>1</v>
      </c>
      <c r="M24" s="652">
        <v>1</v>
      </c>
      <c r="N24" s="652">
        <v>1</v>
      </c>
      <c r="O24" s="379">
        <f>IFERROR(INDEX('CapUnit-N_ANTC'!$C$6:$C$96,MATCH($B24,'CapUnit-N_ANTC'!$A$6:$A$96,0)),"")</f>
        <v>2.4E-2</v>
      </c>
      <c r="P24" s="684">
        <f>IFERROR(0.001*INDEX(VehicleCostData!$N$13:$T$102,MATCH($B24,VehicleCostData!$A$13:$A$102,0),MATCH(P$5,VehicleCostData!$N$12:$T$12,0)),"")</f>
        <v>531.43336858461009</v>
      </c>
      <c r="Q24" s="684">
        <f>IFERROR(0.001*INDEX(VehicleCostData!$N$13:$T$102,MATCH($B24,VehicleCostData!$A$13:$A$102,0),MATCH(Q$5,VehicleCostData!$N$12:$T$12,0)),"")</f>
        <v>540.08959568363241</v>
      </c>
      <c r="R24" s="684">
        <f>IFERROR(0.001*INDEX(VehicleCostData!$N$13:$T$102,MATCH($B24,VehicleCostData!$A$13:$A$102,0),MATCH(R$5,VehicleCostData!$N$12:$T$12,0)),"")</f>
        <v>548.74582278265507</v>
      </c>
      <c r="S24" s="684">
        <f>IFERROR(0.001*INDEX(VehicleCostData!$N$13:$T$102,MATCH($B24,VehicleCostData!$A$13:$A$102,0),MATCH(S$5,VehicleCostData!$N$12:$T$12,0)),"")</f>
        <v>554.77116992257743</v>
      </c>
      <c r="T24" s="684">
        <f>IFERROR(0.001*INDEX(VehicleCostData!$N$13:$T$102,MATCH($B24,VehicleCostData!$A$13:$A$102,0),MATCH(T$5,VehicleCostData!$N$12:$T$12,0)),"")</f>
        <v>560.7965170624999</v>
      </c>
      <c r="U24" s="684">
        <f>IFERROR(0.001*INDEX(VehicleCostData!$N$13:$T$102,MATCH($B24,VehicleCostData!$A$13:$A$102,0),MATCH(U$5,VehicleCostData!$N$12:$T$12,0)),"")</f>
        <v>564.26965287362793</v>
      </c>
      <c r="V24" s="684">
        <f>IFERROR(0.001*INDEX(VehicleCostData!$N$13:$T$102,MATCH($B24,VehicleCostData!$A$13:$A$102,0),MATCH(V$5,VehicleCostData!$N$12:$T$12,0)),"")</f>
        <v>567.74278868475642</v>
      </c>
      <c r="W24" s="685">
        <f>IFERROR(0.001*INDEX(VehicleCostData!$V$13:$AB$102,MATCH($B24,VehicleCostData!$A$13:$A$102,0),MATCH(W$5,VehicleCostData!$V$12:$AB$12,0)),"")</f>
        <v>14.348700951784471</v>
      </c>
      <c r="X24" s="685">
        <f>IFERROR(0.001*INDEX(VehicleCostData!$V$13:$AB$102,MATCH($B24,VehicleCostData!$A$13:$A$102,0),MATCH(X$5,VehicleCostData!$V$12:$AB$12,0)),"")</f>
        <v>14.816137215131684</v>
      </c>
      <c r="Y24" s="685">
        <f>IFERROR(0.001*INDEX(VehicleCostData!$V$13:$AB$102,MATCH($B24,VehicleCostData!$A$13:$A$102,0),MATCH(Y$5,VehicleCostData!$V$12:$AB$12,0)),"")</f>
        <v>15.141505960687496</v>
      </c>
      <c r="Z24" s="685">
        <f>IFERROR(0.001*INDEX(VehicleCostData!$V$13:$AB$102,MATCH($B24,VehicleCostData!$A$13:$A$102,0),MATCH(Z$5,VehicleCostData!$V$12:$AB$12,0)),"")</f>
        <v>15.329055294488422</v>
      </c>
      <c r="AA24" s="652">
        <v>23</v>
      </c>
      <c r="AB24" s="652">
        <v>23</v>
      </c>
      <c r="AC24" s="694">
        <f t="shared" si="0"/>
        <v>2080</v>
      </c>
      <c r="AD24" s="688">
        <v>3</v>
      </c>
    </row>
    <row r="25" spans="2:30" x14ac:dyDescent="0.25">
      <c r="B25" s="385" t="str">
        <f>IF(ITEMS_Tech_N!D25="","",ITEMS_Tech_N!D25)</f>
        <v>TPPRCARHGNF-N</v>
      </c>
      <c r="C25" s="232" t="str">
        <f>IF(ITEMS_Tech_N!E25="","",ITEMS_Tech_N!E25)</f>
        <v>Transport Passenger Car Priv.Veh. Hydrogen Fuel Cell-N</v>
      </c>
      <c r="D25" s="219" t="s">
        <v>804</v>
      </c>
      <c r="E25" s="219" t="s">
        <v>238</v>
      </c>
      <c r="F25" s="377">
        <f>IFERROR(INDEX('EFF-N_ANTC'!$J$6:$N$96,MATCH($B25,'EFF-N_ANTC'!$A$6:$A$96,0),MATCH(F$5,'EFF-N_ANTC'!$J$5:$N$5,0)),"")</f>
        <v>1.0620801534266044</v>
      </c>
      <c r="G25" s="377">
        <f>IFERROR(INDEX('EFF-N_ANTC'!$J$6:$N$96,MATCH($B25,'EFF-N_ANTC'!$A$6:$A$96,0),MATCH(G$5,'EFF-N_ANTC'!$J$5:$N$5,0)),"")</f>
        <v>1.1451230038917029</v>
      </c>
      <c r="H25" s="377">
        <f>IFERROR(INDEX('EFF-N_ANTC'!$J$6:$N$96,MATCH($B25,'EFF-N_ANTC'!$A$6:$A$96,0),MATCH(H$5,'EFF-N_ANTC'!$J$5:$N$5,0)),"")</f>
        <v>1.2661938306114204</v>
      </c>
      <c r="I25" s="377">
        <f>IFERROR(INDEX('EFF-N_ANTC'!$J$6:$N$96,MATCH($B25,'EFF-N_ANTC'!$A$6:$A$96,0),MATCH(I$5,'EFF-N_ANTC'!$J$5:$N$5,0)),"")</f>
        <v>1.4000651556468473</v>
      </c>
      <c r="J25" s="652">
        <v>1</v>
      </c>
      <c r="K25" s="652">
        <v>1</v>
      </c>
      <c r="L25" s="652">
        <v>1</v>
      </c>
      <c r="M25" s="652">
        <v>1</v>
      </c>
      <c r="N25" s="652">
        <v>1</v>
      </c>
      <c r="O25" s="379">
        <f>IFERROR(INDEX('CapUnit-N_ANTC'!$C$6:$C$96,MATCH($B25,'CapUnit-N_ANTC'!$A$6:$A$96,0)),"")</f>
        <v>1.9099999999999999E-2</v>
      </c>
      <c r="P25" s="684">
        <f>IFERROR(0.001*INDEX(VehicleCostData!$N$13:$T$102,MATCH($B25,VehicleCostData!$A$13:$A$102,0),MATCH(P$5,VehicleCostData!$N$12:$T$12,0)),"")</f>
        <v>1120.0310727244944</v>
      </c>
      <c r="Q25" s="684">
        <f>IFERROR(0.001*INDEX(VehicleCostData!$N$13:$T$102,MATCH($B25,VehicleCostData!$A$13:$A$102,0),MATCH(Q$5,VehicleCostData!$N$12:$T$12,0)),"")</f>
        <v>928.80625543006101</v>
      </c>
      <c r="R25" s="684">
        <f>IFERROR(0.001*INDEX(VehicleCostData!$N$13:$T$102,MATCH($B25,VehicleCostData!$A$13:$A$102,0),MATCH(R$5,VehicleCostData!$N$12:$T$12,0)),"")</f>
        <v>874.17059334595206</v>
      </c>
      <c r="S25" s="684">
        <f>IFERROR(0.001*INDEX(VehicleCostData!$N$13:$T$102,MATCH($B25,VehicleCostData!$A$13:$A$102,0),MATCH(S$5,VehicleCostData!$N$12:$T$12,0)),"")</f>
        <v>600.9922829253328</v>
      </c>
      <c r="T25" s="684">
        <f>IFERROR(0.001*INDEX(VehicleCostData!$N$13:$T$102,MATCH($B25,VehicleCostData!$A$13:$A$102,0),MATCH(T$5,VehicleCostData!$N$12:$T$12,0)),"")</f>
        <v>546.35662084122362</v>
      </c>
      <c r="U25" s="684">
        <f>IFERROR(0.001*INDEX(VehicleCostData!$N$13:$T$102,MATCH($B25,VehicleCostData!$A$13:$A$102,0),MATCH(U$5,VehicleCostData!$N$12:$T$12,0)),"")</f>
        <v>491.72095875709982</v>
      </c>
      <c r="V25" s="684">
        <f>IFERROR(0.001*INDEX(VehicleCostData!$N$13:$T$102,MATCH($B25,VehicleCostData!$A$13:$A$102,0),MATCH(V$5,VehicleCostData!$N$12:$T$12,0)),"")</f>
        <v>437.08529667297603</v>
      </c>
      <c r="W25" s="685">
        <f>IFERROR(0.001*INDEX(VehicleCostData!$V$13:$AB$102,MATCH($B25,VehicleCostData!$A$13:$A$102,0),MATCH(W$5,VehicleCostData!$V$12:$AB$12,0)),"")</f>
        <v>30.240838963561352</v>
      </c>
      <c r="X25" s="685">
        <f>IFERROR(0.001*INDEX(VehicleCostData!$V$13:$AB$102,MATCH($B25,VehicleCostData!$A$13:$A$102,0),MATCH(X$5,VehicleCostData!$V$12:$AB$12,0)),"")</f>
        <v>23.602606020340705</v>
      </c>
      <c r="Y25" s="685">
        <f>IFERROR(0.001*INDEX(VehicleCostData!$V$13:$AB$102,MATCH($B25,VehicleCostData!$A$13:$A$102,0),MATCH(Y$5,VehicleCostData!$V$12:$AB$12,0)),"")</f>
        <v>14.75162876271304</v>
      </c>
      <c r="Z25" s="685">
        <f>IFERROR(0.001*INDEX(VehicleCostData!$V$13:$AB$102,MATCH($B25,VehicleCostData!$A$13:$A$102,0),MATCH(Z$5,VehicleCostData!$V$12:$AB$12,0)),"")</f>
        <v>11.801303010170352</v>
      </c>
      <c r="AA25" s="652">
        <v>23</v>
      </c>
      <c r="AB25" s="652">
        <v>23</v>
      </c>
      <c r="AC25" s="694">
        <f t="shared" si="0"/>
        <v>2080</v>
      </c>
      <c r="AD25" s="688">
        <v>3</v>
      </c>
    </row>
    <row r="26" spans="2:30" x14ac:dyDescent="0.25">
      <c r="B26" s="385" t="str">
        <f>IF(ITEMS_Tech_N!D26="","",ITEMS_Tech_N!D26)</f>
        <v>*</v>
      </c>
      <c r="C26" s="232" t="str">
        <f>IF(ITEMS_Tech_N!E26="","",ITEMS_Tech_N!E26)</f>
        <v>Transport Passenger Car Priv.Veh. Oil Blended Gasoline-Ethanol-E85-N</v>
      </c>
      <c r="D26" s="219" t="s">
        <v>805</v>
      </c>
      <c r="E26" s="219" t="s">
        <v>238</v>
      </c>
      <c r="F26" s="377">
        <f>IFERROR(INDEX('EFF-N_ANTC'!$J$6:$N$96,MATCH($B26,'EFF-N_ANTC'!$A$6:$A$96,0),MATCH(F$5,'EFF-N_ANTC'!$J$5:$N$5,0)),"")</f>
        <v>0.23658855771912971</v>
      </c>
      <c r="G26" s="377">
        <f>IFERROR(INDEX('EFF-N_ANTC'!$J$6:$N$96,MATCH($B26,'EFF-N_ANTC'!$A$6:$A$96,0),MATCH(G$5,'EFF-N_ANTC'!$J$5:$N$5,0)),"")</f>
        <v>0.25508715046378805</v>
      </c>
      <c r="H26" s="377">
        <f>IFERROR(INDEX('EFF-N_ANTC'!$J$6:$N$96,MATCH($B26,'EFF-N_ANTC'!$A$6:$A$96,0),MATCH(H$5,'EFF-N_ANTC'!$J$5:$N$5,0)),"")</f>
        <v>0.28205684025891897</v>
      </c>
      <c r="I26" s="377">
        <f>IFERROR(INDEX('EFF-N_ANTC'!$J$6:$N$96,MATCH($B26,'EFF-N_ANTC'!$A$6:$A$96,0),MATCH(I$5,'EFF-N_ANTC'!$J$5:$N$5,0)),"")</f>
        <v>0.31187796402994067</v>
      </c>
      <c r="J26" s="652">
        <v>1</v>
      </c>
      <c r="K26" s="652">
        <v>1</v>
      </c>
      <c r="L26" s="652">
        <v>1</v>
      </c>
      <c r="M26" s="652">
        <v>1</v>
      </c>
      <c r="N26" s="652">
        <v>1</v>
      </c>
      <c r="O26" s="379">
        <f>IFERROR(INDEX('CapUnit-N_ANTC'!$C$6:$C$96,MATCH($B26,'CapUnit-N_ANTC'!$A$6:$A$96,0)),"")</f>
        <v>2.4E-2</v>
      </c>
      <c r="P26" s="684">
        <f>IFERROR(0.001*INDEX(VehicleCostData!$N$13:$T$102,MATCH($B26,VehicleCostData!$A$13:$A$102,0),MATCH(P$5,VehicleCostData!$N$12:$T$12,0)),"")</f>
        <v>531.43336858461009</v>
      </c>
      <c r="Q26" s="684">
        <f>IFERROR(0.001*INDEX(VehicleCostData!$N$13:$T$102,MATCH($B26,VehicleCostData!$A$13:$A$102,0),MATCH(Q$5,VehicleCostData!$N$12:$T$12,0)),"")</f>
        <v>540.08959568363241</v>
      </c>
      <c r="R26" s="684">
        <f>IFERROR(0.001*INDEX(VehicleCostData!$N$13:$T$102,MATCH($B26,VehicleCostData!$A$13:$A$102,0),MATCH(R$5,VehicleCostData!$N$12:$T$12,0)),"")</f>
        <v>548.74582278265507</v>
      </c>
      <c r="S26" s="684">
        <f>IFERROR(0.001*INDEX(VehicleCostData!$N$13:$T$102,MATCH($B26,VehicleCostData!$A$13:$A$102,0),MATCH(S$5,VehicleCostData!$N$12:$T$12,0)),"")</f>
        <v>554.77116992257743</v>
      </c>
      <c r="T26" s="684">
        <f>IFERROR(0.001*INDEX(VehicleCostData!$N$13:$T$102,MATCH($B26,VehicleCostData!$A$13:$A$102,0),MATCH(T$5,VehicleCostData!$N$12:$T$12,0)),"")</f>
        <v>560.7965170624999</v>
      </c>
      <c r="U26" s="684">
        <f>IFERROR(0.001*INDEX(VehicleCostData!$N$13:$T$102,MATCH($B26,VehicleCostData!$A$13:$A$102,0),MATCH(U$5,VehicleCostData!$N$12:$T$12,0)),"")</f>
        <v>564.26965287362793</v>
      </c>
      <c r="V26" s="684">
        <f>IFERROR(0.001*INDEX(VehicleCostData!$N$13:$T$102,MATCH($B26,VehicleCostData!$A$13:$A$102,0),MATCH(V$5,VehicleCostData!$N$12:$T$12,0)),"")</f>
        <v>567.74278868475642</v>
      </c>
      <c r="W26" s="685">
        <f>IFERROR(0.001*INDEX(VehicleCostData!$V$13:$AB$102,MATCH($B26,VehicleCostData!$A$13:$A$102,0),MATCH(W$5,VehicleCostData!$V$12:$AB$12,0)),"")</f>
        <v>14.348700951784471</v>
      </c>
      <c r="X26" s="685">
        <f>IFERROR(0.001*INDEX(VehicleCostData!$V$13:$AB$102,MATCH($B26,VehicleCostData!$A$13:$A$102,0),MATCH(X$5,VehicleCostData!$V$12:$AB$12,0)),"")</f>
        <v>14.816137215131684</v>
      </c>
      <c r="Y26" s="685">
        <f>IFERROR(0.001*INDEX(VehicleCostData!$V$13:$AB$102,MATCH($B26,VehicleCostData!$A$13:$A$102,0),MATCH(Y$5,VehicleCostData!$V$12:$AB$12,0)),"")</f>
        <v>15.141505960687496</v>
      </c>
      <c r="Z26" s="685">
        <f>IFERROR(0.001*INDEX(VehicleCostData!$V$13:$AB$102,MATCH($B26,VehicleCostData!$A$13:$A$102,0),MATCH(Z$5,VehicleCostData!$V$12:$AB$12,0)),"")</f>
        <v>15.329055294488422</v>
      </c>
      <c r="AA26" s="652">
        <v>23</v>
      </c>
      <c r="AB26" s="652">
        <v>23</v>
      </c>
      <c r="AC26" s="694">
        <f t="shared" si="0"/>
        <v>2080</v>
      </c>
      <c r="AD26" s="688">
        <v>3</v>
      </c>
    </row>
    <row r="27" spans="2:30" x14ac:dyDescent="0.25">
      <c r="B27" s="385" t="str">
        <f>IF(ITEMS_Tech_N!D27="","",ITEMS_Tech_N!D27)</f>
        <v>*</v>
      </c>
      <c r="C27" s="232" t="str">
        <f>IF(ITEMS_Tech_N!E27="","",ITEMS_Tech_N!E27)</f>
        <v/>
      </c>
      <c r="D27" s="219"/>
      <c r="E27" s="219"/>
      <c r="F27" s="377">
        <f>IFERROR(INDEX('EFF-N_ANTC'!$J$6:$N$96,MATCH($B27,'EFF-N_ANTC'!$A$6:$A$96,0),MATCH(F$5,'EFF-N_ANTC'!$J$5:$N$5,0)),"")</f>
        <v>0.23658855771912971</v>
      </c>
      <c r="G27" s="377">
        <f>IFERROR(INDEX('EFF-N_ANTC'!$J$6:$N$96,MATCH($B27,'EFF-N_ANTC'!$A$6:$A$96,0),MATCH(G$5,'EFF-N_ANTC'!$J$5:$N$5,0)),"")</f>
        <v>0.25508715046378805</v>
      </c>
      <c r="H27" s="377">
        <f>IFERROR(INDEX('EFF-N_ANTC'!$J$6:$N$96,MATCH($B27,'EFF-N_ANTC'!$A$6:$A$96,0),MATCH(H$5,'EFF-N_ANTC'!$J$5:$N$5,0)),"")</f>
        <v>0.28205684025891897</v>
      </c>
      <c r="I27" s="377">
        <f>IFERROR(INDEX('EFF-N_ANTC'!$J$6:$N$96,MATCH($B27,'EFF-N_ANTC'!$A$6:$A$96,0),MATCH(I$5,'EFF-N_ANTC'!$J$5:$N$5,0)),"")</f>
        <v>0.31187796402994067</v>
      </c>
      <c r="J27" s="379"/>
      <c r="K27" s="379"/>
      <c r="L27" s="379"/>
      <c r="M27" s="379"/>
      <c r="N27" s="379"/>
      <c r="O27" s="379">
        <f>IFERROR(INDEX('CapUnit-N_ANTC'!$C$6:$C$96,MATCH($B27,'CapUnit-N_ANTC'!$A$6:$A$96,0)),"")</f>
        <v>2.4E-2</v>
      </c>
      <c r="P27" s="684">
        <f>IFERROR(0.001*INDEX(VehicleCostData!$N$13:$T$102,MATCH($B27,VehicleCostData!$A$13:$A$102,0),MATCH(P$5,VehicleCostData!$N$12:$T$12,0)),"")</f>
        <v>531.43336858461009</v>
      </c>
      <c r="Q27" s="684">
        <f>IFERROR(0.001*INDEX(VehicleCostData!$N$13:$T$102,MATCH($B27,VehicleCostData!$A$13:$A$102,0),MATCH(Q$5,VehicleCostData!$N$12:$T$12,0)),"")</f>
        <v>540.08959568363241</v>
      </c>
      <c r="R27" s="684">
        <f>IFERROR(0.001*INDEX(VehicleCostData!$N$13:$T$102,MATCH($B27,VehicleCostData!$A$13:$A$102,0),MATCH(R$5,VehicleCostData!$N$12:$T$12,0)),"")</f>
        <v>548.74582278265507</v>
      </c>
      <c r="S27" s="684">
        <f>IFERROR(0.001*INDEX(VehicleCostData!$N$13:$T$102,MATCH($B27,VehicleCostData!$A$13:$A$102,0),MATCH(S$5,VehicleCostData!$N$12:$T$12,0)),"")</f>
        <v>554.77116992257743</v>
      </c>
      <c r="T27" s="684">
        <f>IFERROR(0.001*INDEX(VehicleCostData!$N$13:$T$102,MATCH($B27,VehicleCostData!$A$13:$A$102,0),MATCH(T$5,VehicleCostData!$N$12:$T$12,0)),"")</f>
        <v>560.7965170624999</v>
      </c>
      <c r="U27" s="684">
        <f>IFERROR(0.001*INDEX(VehicleCostData!$N$13:$T$102,MATCH($B27,VehicleCostData!$A$13:$A$102,0),MATCH(U$5,VehicleCostData!$N$12:$T$12,0)),"")</f>
        <v>564.26965287362793</v>
      </c>
      <c r="V27" s="684">
        <f>IFERROR(0.001*INDEX(VehicleCostData!$N$13:$T$102,MATCH($B27,VehicleCostData!$A$13:$A$102,0),MATCH(V$5,VehicleCostData!$N$12:$T$12,0)),"")</f>
        <v>567.74278868475642</v>
      </c>
      <c r="W27" s="685">
        <f>IFERROR(0.001*INDEX(VehicleCostData!$V$13:$AB$102,MATCH($B27,VehicleCostData!$A$13:$A$102,0),MATCH(W$5,VehicleCostData!$V$12:$AB$12,0)),"")</f>
        <v>14.348700951784471</v>
      </c>
      <c r="X27" s="685">
        <f>IFERROR(0.001*INDEX(VehicleCostData!$V$13:$AB$102,MATCH($B27,VehicleCostData!$A$13:$A$102,0),MATCH(X$5,VehicleCostData!$V$12:$AB$12,0)),"")</f>
        <v>14.816137215131684</v>
      </c>
      <c r="Y27" s="685">
        <f>IFERROR(0.001*INDEX(VehicleCostData!$V$13:$AB$102,MATCH($B27,VehicleCostData!$A$13:$A$102,0),MATCH(Y$5,VehicleCostData!$V$12:$AB$12,0)),"")</f>
        <v>15.141505960687496</v>
      </c>
      <c r="Z27" s="685">
        <f>IFERROR(0.001*INDEX(VehicleCostData!$V$13:$AB$102,MATCH($B27,VehicleCostData!$A$13:$A$102,0),MATCH(Z$5,VehicleCostData!$V$12:$AB$12,0)),"")</f>
        <v>15.329055294488422</v>
      </c>
      <c r="AA27" s="686" t="s">
        <v>504</v>
      </c>
      <c r="AB27" s="686" t="s">
        <v>504</v>
      </c>
      <c r="AC27" s="694" t="str">
        <f t="shared" si="0"/>
        <v/>
      </c>
      <c r="AD27" s="689"/>
    </row>
    <row r="28" spans="2:30" x14ac:dyDescent="0.25">
      <c r="B28" s="385" t="str">
        <f>IF(ITEMS_Tech_N!D28="","",ITEMS_Tech_N!D28)</f>
        <v>*</v>
      </c>
      <c r="C28" s="232" t="str">
        <f>IF(ITEMS_Tech_N!E28="","",ITEMS_Tech_N!E28)</f>
        <v>Private Motorcycles</v>
      </c>
      <c r="D28" s="219"/>
      <c r="E28" s="219"/>
      <c r="F28" s="377">
        <f>IFERROR(INDEX('EFF-N_ANTC'!$J$6:$N$96,MATCH($B28,'EFF-N_ANTC'!$A$6:$A$96,0),MATCH(F$5,'EFF-N_ANTC'!$J$5:$N$5,0)),"")</f>
        <v>0.23658855771912971</v>
      </c>
      <c r="G28" s="377">
        <f>IFERROR(INDEX('EFF-N_ANTC'!$J$6:$N$96,MATCH($B28,'EFF-N_ANTC'!$A$6:$A$96,0),MATCH(G$5,'EFF-N_ANTC'!$J$5:$N$5,0)),"")</f>
        <v>0.25508715046378805</v>
      </c>
      <c r="H28" s="377">
        <f>IFERROR(INDEX('EFF-N_ANTC'!$J$6:$N$96,MATCH($B28,'EFF-N_ANTC'!$A$6:$A$96,0),MATCH(H$5,'EFF-N_ANTC'!$J$5:$N$5,0)),"")</f>
        <v>0.28205684025891897</v>
      </c>
      <c r="I28" s="377">
        <f>IFERROR(INDEX('EFF-N_ANTC'!$J$6:$N$96,MATCH($B28,'EFF-N_ANTC'!$A$6:$A$96,0),MATCH(I$5,'EFF-N_ANTC'!$J$5:$N$5,0)),"")</f>
        <v>0.31187796402994067</v>
      </c>
      <c r="J28" s="379"/>
      <c r="K28" s="379"/>
      <c r="L28" s="379"/>
      <c r="M28" s="379"/>
      <c r="N28" s="379"/>
      <c r="O28" s="379">
        <f>IFERROR(INDEX('CapUnit-N_ANTC'!$C$6:$C$96,MATCH($B28,'CapUnit-N_ANTC'!$A$6:$A$96,0)),"")</f>
        <v>2.4E-2</v>
      </c>
      <c r="P28" s="684">
        <f>IFERROR(0.001*INDEX(VehicleCostData!$N$13:$T$102,MATCH($B28,VehicleCostData!$A$13:$A$102,0),MATCH(P$5,VehicleCostData!$N$12:$T$12,0)),"")</f>
        <v>531.43336858461009</v>
      </c>
      <c r="Q28" s="684">
        <f>IFERROR(0.001*INDEX(VehicleCostData!$N$13:$T$102,MATCH($B28,VehicleCostData!$A$13:$A$102,0),MATCH(Q$5,VehicleCostData!$N$12:$T$12,0)),"")</f>
        <v>540.08959568363241</v>
      </c>
      <c r="R28" s="684">
        <f>IFERROR(0.001*INDEX(VehicleCostData!$N$13:$T$102,MATCH($B28,VehicleCostData!$A$13:$A$102,0),MATCH(R$5,VehicleCostData!$N$12:$T$12,0)),"")</f>
        <v>548.74582278265507</v>
      </c>
      <c r="S28" s="684">
        <f>IFERROR(0.001*INDEX(VehicleCostData!$N$13:$T$102,MATCH($B28,VehicleCostData!$A$13:$A$102,0),MATCH(S$5,VehicleCostData!$N$12:$T$12,0)),"")</f>
        <v>554.77116992257743</v>
      </c>
      <c r="T28" s="684">
        <f>IFERROR(0.001*INDEX(VehicleCostData!$N$13:$T$102,MATCH($B28,VehicleCostData!$A$13:$A$102,0),MATCH(T$5,VehicleCostData!$N$12:$T$12,0)),"")</f>
        <v>560.7965170624999</v>
      </c>
      <c r="U28" s="684">
        <f>IFERROR(0.001*INDEX(VehicleCostData!$N$13:$T$102,MATCH($B28,VehicleCostData!$A$13:$A$102,0),MATCH(U$5,VehicleCostData!$N$12:$T$12,0)),"")</f>
        <v>564.26965287362793</v>
      </c>
      <c r="V28" s="684">
        <f>IFERROR(0.001*INDEX(VehicleCostData!$N$13:$T$102,MATCH($B28,VehicleCostData!$A$13:$A$102,0),MATCH(V$5,VehicleCostData!$N$12:$T$12,0)),"")</f>
        <v>567.74278868475642</v>
      </c>
      <c r="W28" s="685">
        <f>IFERROR(0.001*INDEX(VehicleCostData!$V$13:$AB$102,MATCH($B28,VehicleCostData!$A$13:$A$102,0),MATCH(W$5,VehicleCostData!$V$12:$AB$12,0)),"")</f>
        <v>14.348700951784471</v>
      </c>
      <c r="X28" s="685">
        <f>IFERROR(0.001*INDEX(VehicleCostData!$V$13:$AB$102,MATCH($B28,VehicleCostData!$A$13:$A$102,0),MATCH(X$5,VehicleCostData!$V$12:$AB$12,0)),"")</f>
        <v>14.816137215131684</v>
      </c>
      <c r="Y28" s="685">
        <f>IFERROR(0.001*INDEX(VehicleCostData!$V$13:$AB$102,MATCH($B28,VehicleCostData!$A$13:$A$102,0),MATCH(Y$5,VehicleCostData!$V$12:$AB$12,0)),"")</f>
        <v>15.141505960687496</v>
      </c>
      <c r="Z28" s="685">
        <f>IFERROR(0.001*INDEX(VehicleCostData!$V$13:$AB$102,MATCH($B28,VehicleCostData!$A$13:$A$102,0),MATCH(Z$5,VehicleCostData!$V$12:$AB$12,0)),"")</f>
        <v>15.329055294488422</v>
      </c>
      <c r="AA28" s="686" t="s">
        <v>504</v>
      </c>
      <c r="AB28" s="686" t="s">
        <v>504</v>
      </c>
      <c r="AC28" s="694" t="str">
        <f t="shared" si="0"/>
        <v/>
      </c>
      <c r="AD28" s="689"/>
    </row>
    <row r="29" spans="2:30" x14ac:dyDescent="0.25">
      <c r="B29" s="385" t="str">
        <f>IF(ITEMS_Tech_N!D29="","",ITEMS_Tech_N!D29)</f>
        <v>TPPRMOTOGS-N</v>
      </c>
      <c r="C29" s="232" t="str">
        <f>IF(ITEMS_Tech_N!E29="","",ITEMS_Tech_N!E29)</f>
        <v>Transport Passenger Moto Priv.Veh. Oil Gasoline-N</v>
      </c>
      <c r="D29" s="219" t="s">
        <v>413</v>
      </c>
      <c r="E29" s="219" t="s">
        <v>289</v>
      </c>
      <c r="F29" s="377">
        <f>IFERROR(INDEX('EFF-N_ANTC'!$J$6:$N$96,MATCH($B29,'EFF-N_ANTC'!$A$6:$A$96,0),MATCH(F$5,'EFF-N_ANTC'!$J$5:$N$5,0)),"")</f>
        <v>0.59370801453640365</v>
      </c>
      <c r="G29" s="377">
        <f>IFERROR(INDEX('EFF-N_ANTC'!$J$6:$N$96,MATCH($B29,'EFF-N_ANTC'!$A$6:$A$96,0),MATCH(G$5,'EFF-N_ANTC'!$J$5:$N$5,0)),"")</f>
        <v>0.64012937521432356</v>
      </c>
      <c r="H29" s="377">
        <f>IFERROR(INDEX('EFF-N_ANTC'!$J$6:$N$96,MATCH($B29,'EFF-N_ANTC'!$A$6:$A$96,0),MATCH(H$5,'EFF-N_ANTC'!$J$5:$N$5,0)),"")</f>
        <v>0.7078085611195819</v>
      </c>
      <c r="I29" s="377">
        <f>IFERROR(INDEX('EFF-N_ANTC'!$J$6:$N$96,MATCH($B29,'EFF-N_ANTC'!$A$6:$A$96,0),MATCH(I$5,'EFF-N_ANTC'!$J$5:$N$5,0)),"")</f>
        <v>0.7826432883609411</v>
      </c>
      <c r="J29" s="652">
        <v>1</v>
      </c>
      <c r="K29" s="652">
        <v>1</v>
      </c>
      <c r="L29" s="652">
        <v>1</v>
      </c>
      <c r="M29" s="652">
        <v>1</v>
      </c>
      <c r="N29" s="652">
        <v>1</v>
      </c>
      <c r="O29" s="379">
        <f>IFERROR(INDEX('CapUnit-N_ANTC'!$C$6:$C$96,MATCH($B29,'CapUnit-N_ANTC'!$A$6:$A$96,0)),"")</f>
        <v>1.4999999999999999E-2</v>
      </c>
      <c r="P29" s="684">
        <f>IFERROR(0.001*INDEX(VehicleCostData!$N$13:$T$102,MATCH($B29,VehicleCostData!$A$13:$A$102,0),MATCH(P$5,VehicleCostData!$N$12:$T$12,0)),"")</f>
        <v>14.929694497599524</v>
      </c>
      <c r="Q29" s="684">
        <f>IFERROR(0.001*INDEX(VehicleCostData!$N$13:$T$102,MATCH($B29,VehicleCostData!$A$13:$A$102,0),MATCH(Q$5,VehicleCostData!$N$12:$T$12,0)),"")</f>
        <v>15.172876114957205</v>
      </c>
      <c r="R29" s="684">
        <f>IFERROR(0.001*INDEX(VehicleCostData!$N$13:$T$102,MATCH($B29,VehicleCostData!$A$13:$A$102,0),MATCH(R$5,VehicleCostData!$N$12:$T$12,0)),"")</f>
        <v>15.416057732314894</v>
      </c>
      <c r="S29" s="684">
        <f>IFERROR(0.001*INDEX(VehicleCostData!$N$13:$T$102,MATCH($B29,VehicleCostData!$A$13:$A$102,0),MATCH(S$5,VehicleCostData!$N$12:$T$12,0)),"")</f>
        <v>15.58532936138217</v>
      </c>
      <c r="T29" s="684">
        <f>IFERROR(0.001*INDEX(VehicleCostData!$N$13:$T$102,MATCH($B29,VehicleCostData!$A$13:$A$102,0),MATCH(T$5,VehicleCostData!$N$12:$T$12,0)),"")</f>
        <v>15.754600990449445</v>
      </c>
      <c r="U29" s="684">
        <f>IFERROR(0.001*INDEX(VehicleCostData!$N$13:$T$102,MATCH($B29,VehicleCostData!$A$13:$A$102,0),MATCH(U$5,VehicleCostData!$N$12:$T$12,0)),"")</f>
        <v>15.852172689319083</v>
      </c>
      <c r="V29" s="684">
        <f>IFERROR(0.001*INDEX(VehicleCostData!$N$13:$T$102,MATCH($B29,VehicleCostData!$A$13:$A$102,0),MATCH(V$5,VehicleCostData!$N$12:$T$12,0)),"")</f>
        <v>15.949744388188726</v>
      </c>
      <c r="W29" s="685">
        <f>IFERROR(0.001*INDEX(VehicleCostData!$V$13:$AB$102,MATCH($B29,VehicleCostData!$A$13:$A$102,0),MATCH(W$5,VehicleCostData!$V$12:$AB$12,0)),"")</f>
        <v>0.40310175143518712</v>
      </c>
      <c r="X29" s="685">
        <f>IFERROR(0.001*INDEX(VehicleCostData!$V$13:$AB$102,MATCH($B29,VehicleCostData!$A$13:$A$102,0),MATCH(X$5,VehicleCostData!$V$12:$AB$12,0)),"")</f>
        <v>0.41623355877250212</v>
      </c>
      <c r="Y29" s="685">
        <f>IFERROR(0.001*INDEX(VehicleCostData!$V$13:$AB$102,MATCH($B29,VehicleCostData!$A$13:$A$102,0),MATCH(Y$5,VehicleCostData!$V$12:$AB$12,0)),"")</f>
        <v>0.42537422674213499</v>
      </c>
      <c r="Z29" s="685">
        <f>IFERROR(0.001*INDEX(VehicleCostData!$V$13:$AB$102,MATCH($B29,VehicleCostData!$A$13:$A$102,0),MATCH(Z$5,VehicleCostData!$V$12:$AB$12,0)),"")</f>
        <v>0.43064309848109561</v>
      </c>
      <c r="AA29" s="652">
        <v>8</v>
      </c>
      <c r="AB29" s="652">
        <v>8</v>
      </c>
      <c r="AC29" s="694">
        <f t="shared" si="0"/>
        <v>2018</v>
      </c>
      <c r="AD29" s="688">
        <v>1</v>
      </c>
    </row>
    <row r="30" spans="2:30" x14ac:dyDescent="0.25">
      <c r="B30" s="385" t="str">
        <f>IF(ITEMS_Tech_N!D30="","",ITEMS_Tech_N!D30)</f>
        <v>TPPRMOTELC-N</v>
      </c>
      <c r="C30" s="232" t="str">
        <f>IF(ITEMS_Tech_N!E30="","",ITEMS_Tech_N!E30)</f>
        <v>Transport Passenger Moto Priv.Veh. Electricity-N</v>
      </c>
      <c r="D30" s="219" t="s">
        <v>412</v>
      </c>
      <c r="E30" s="219" t="s">
        <v>289</v>
      </c>
      <c r="F30" s="377">
        <f>IFERROR(INDEX('EFF-N_ANTC'!$J$6:$N$96,MATCH($B30,'EFF-N_ANTC'!$A$6:$A$96,0),MATCH(F$5,'EFF-N_ANTC'!$J$5:$N$5,0)),"")</f>
        <v>2.9938192008718172</v>
      </c>
      <c r="G30" s="377">
        <f>IFERROR(INDEX('EFF-N_ANTC'!$J$6:$N$96,MATCH($B30,'EFF-N_ANTC'!$A$6:$A$96,0),MATCH(G$5,'EFF-N_ANTC'!$J$5:$N$5,0)),"")</f>
        <v>3.2279025508105459</v>
      </c>
      <c r="H30" s="377">
        <f>IFERROR(INDEX('EFF-N_ANTC'!$J$6:$N$96,MATCH($B30,'EFF-N_ANTC'!$A$6:$A$96,0),MATCH(H$5,'EFF-N_ANTC'!$J$5:$N$5,0)),"")</f>
        <v>3.569180150744498</v>
      </c>
      <c r="I30" s="377">
        <f>IFERROR(INDEX('EFF-N_ANTC'!$J$6:$N$96,MATCH($B30,'EFF-N_ANTC'!$A$6:$A$96,0),MATCH(I$5,'EFF-N_ANTC'!$J$5:$N$5,0)),"")</f>
        <v>3.9465401287500659</v>
      </c>
      <c r="J30" s="652">
        <v>1</v>
      </c>
      <c r="K30" s="652">
        <v>1</v>
      </c>
      <c r="L30" s="652">
        <v>1</v>
      </c>
      <c r="M30" s="652">
        <v>1</v>
      </c>
      <c r="N30" s="652">
        <v>1</v>
      </c>
      <c r="O30" s="379">
        <f>IFERROR(INDEX('CapUnit-N_ANTC'!$C$6:$C$96,MATCH($B30,'CapUnit-N_ANTC'!$A$6:$A$96,0)),"")</f>
        <v>1.4999999999999999E-2</v>
      </c>
      <c r="P30" s="684">
        <f>IFERROR(0.001*INDEX(VehicleCostData!$N$13:$T$102,MATCH($B30,VehicleCostData!$A$13:$A$102,0),MATCH(P$5,VehicleCostData!$N$12:$T$12,0)),"")</f>
        <v>44.316819977250084</v>
      </c>
      <c r="Q30" s="684">
        <f>IFERROR(0.001*INDEX(VehicleCostData!$N$13:$T$102,MATCH($B30,VehicleCostData!$A$13:$A$102,0),MATCH(Q$5,VehicleCostData!$N$12:$T$12,0)),"")</f>
        <v>40.034752389226767</v>
      </c>
      <c r="R30" s="684">
        <f>IFERROR(0.001*INDEX(VehicleCostData!$N$13:$T$102,MATCH($B30,VehicleCostData!$A$13:$A$102,0),MATCH(R$5,VehicleCostData!$N$12:$T$12,0)),"")</f>
        <v>38.899746522522001</v>
      </c>
      <c r="S30" s="684">
        <f>IFERROR(0.001*INDEX(VehicleCostData!$N$13:$T$102,MATCH($B30,VehicleCostData!$A$13:$A$102,0),MATCH(S$5,VehicleCostData!$N$12:$T$12,0)),"")</f>
        <v>33.224717188997595</v>
      </c>
      <c r="T30" s="684">
        <f>IFERROR(0.001*INDEX(VehicleCostData!$N$13:$T$102,MATCH($B30,VehicleCostData!$A$13:$A$102,0),MATCH(T$5,VehicleCostData!$N$12:$T$12,0)),"")</f>
        <v>32.19289367381144</v>
      </c>
      <c r="U30" s="684">
        <f>IFERROR(0.001*INDEX(VehicleCostData!$N$13:$T$102,MATCH($B30,VehicleCostData!$A$13:$A$102,0),MATCH(U$5,VehicleCostData!$N$12:$T$12,0)),"")</f>
        <v>31.161070158625211</v>
      </c>
      <c r="V30" s="684">
        <f>IFERROR(0.001*INDEX(VehicleCostData!$N$13:$T$102,MATCH($B30,VehicleCostData!$A$13:$A$102,0),MATCH(V$5,VehicleCostData!$N$12:$T$12,0)),"")</f>
        <v>30.129246643438982</v>
      </c>
      <c r="W30" s="685">
        <f>IFERROR(0.001*INDEX(VehicleCostData!$V$13:$AB$102,MATCH($B30,VehicleCostData!$A$13:$A$102,0),MATCH(W$5,VehicleCostData!$V$12:$AB$12,0)),"")</f>
        <v>0.84201957956775153</v>
      </c>
      <c r="X30" s="685">
        <f>IFERROR(0.001*INDEX(VehicleCostData!$V$13:$AB$102,MATCH($B30,VehicleCostData!$A$13:$A$102,0),MATCH(X$5,VehicleCostData!$V$12:$AB$12,0)),"")</f>
        <v>0.73909518392791806</v>
      </c>
      <c r="Y30" s="685">
        <f>IFERROR(0.001*INDEX(VehicleCostData!$V$13:$AB$102,MATCH($B30,VehicleCostData!$A$13:$A$102,0),MATCH(Y$5,VehicleCostData!$V$12:$AB$12,0)),"")</f>
        <v>0.6116649798024173</v>
      </c>
      <c r="Z30" s="685">
        <f>IFERROR(0.001*INDEX(VehicleCostData!$V$13:$AB$102,MATCH($B30,VehicleCostData!$A$13:$A$102,0),MATCH(Z$5,VehicleCostData!$V$12:$AB$12,0)),"")</f>
        <v>0.5724556862253406</v>
      </c>
      <c r="AA30" s="652">
        <v>8</v>
      </c>
      <c r="AB30" s="652">
        <v>8</v>
      </c>
      <c r="AC30" s="694">
        <f t="shared" si="0"/>
        <v>2018</v>
      </c>
      <c r="AD30" s="688">
        <v>1</v>
      </c>
    </row>
    <row r="31" spans="2:30" x14ac:dyDescent="0.25">
      <c r="B31" s="385" t="str">
        <f>IF(ITEMS_Tech_N!D31="","",ITEMS_Tech_N!D31)</f>
        <v>*</v>
      </c>
      <c r="C31" s="232" t="str">
        <f>IF(ITEMS_Tech_N!E31="","",ITEMS_Tech_N!E31)</f>
        <v/>
      </c>
      <c r="D31" s="219"/>
      <c r="E31" s="219"/>
      <c r="F31" s="377">
        <f>IFERROR(INDEX('EFF-N_ANTC'!$J$6:$N$96,MATCH($B31,'EFF-N_ANTC'!$A$6:$A$96,0),MATCH(F$5,'EFF-N_ANTC'!$J$5:$N$5,0)),"")</f>
        <v>0.23658855771912971</v>
      </c>
      <c r="G31" s="377">
        <f>IFERROR(INDEX('EFF-N_ANTC'!$J$6:$N$96,MATCH($B31,'EFF-N_ANTC'!$A$6:$A$96,0),MATCH(G$5,'EFF-N_ANTC'!$J$5:$N$5,0)),"")</f>
        <v>0.25508715046378805</v>
      </c>
      <c r="H31" s="377">
        <f>IFERROR(INDEX('EFF-N_ANTC'!$J$6:$N$96,MATCH($B31,'EFF-N_ANTC'!$A$6:$A$96,0),MATCH(H$5,'EFF-N_ANTC'!$J$5:$N$5,0)),"")</f>
        <v>0.28205684025891897</v>
      </c>
      <c r="I31" s="377">
        <f>IFERROR(INDEX('EFF-N_ANTC'!$J$6:$N$96,MATCH($B31,'EFF-N_ANTC'!$A$6:$A$96,0),MATCH(I$5,'EFF-N_ANTC'!$J$5:$N$5,0)),"")</f>
        <v>0.31187796402994067</v>
      </c>
      <c r="J31" s="379"/>
      <c r="K31" s="379"/>
      <c r="L31" s="379"/>
      <c r="M31" s="379"/>
      <c r="N31" s="379"/>
      <c r="O31" s="379">
        <f>IFERROR(INDEX('CapUnit-N_ANTC'!$C$6:$C$96,MATCH($B31,'CapUnit-N_ANTC'!$A$6:$A$96,0)),"")</f>
        <v>2.4E-2</v>
      </c>
      <c r="P31" s="684">
        <f>IFERROR(0.001*INDEX(VehicleCostData!$N$13:$T$102,MATCH($B31,VehicleCostData!$A$13:$A$102,0),MATCH(P$5,VehicleCostData!$N$12:$T$12,0)),"")</f>
        <v>531.43336858461009</v>
      </c>
      <c r="Q31" s="684">
        <f>IFERROR(0.001*INDEX(VehicleCostData!$N$13:$T$102,MATCH($B31,VehicleCostData!$A$13:$A$102,0),MATCH(Q$5,VehicleCostData!$N$12:$T$12,0)),"")</f>
        <v>540.08959568363241</v>
      </c>
      <c r="R31" s="684">
        <f>IFERROR(0.001*INDEX(VehicleCostData!$N$13:$T$102,MATCH($B31,VehicleCostData!$A$13:$A$102,0),MATCH(R$5,VehicleCostData!$N$12:$T$12,0)),"")</f>
        <v>548.74582278265507</v>
      </c>
      <c r="S31" s="684">
        <f>IFERROR(0.001*INDEX(VehicleCostData!$N$13:$T$102,MATCH($B31,VehicleCostData!$A$13:$A$102,0),MATCH(S$5,VehicleCostData!$N$12:$T$12,0)),"")</f>
        <v>554.77116992257743</v>
      </c>
      <c r="T31" s="684">
        <f>IFERROR(0.001*INDEX(VehicleCostData!$N$13:$T$102,MATCH($B31,VehicleCostData!$A$13:$A$102,0),MATCH(T$5,VehicleCostData!$N$12:$T$12,0)),"")</f>
        <v>560.7965170624999</v>
      </c>
      <c r="U31" s="684">
        <f>IFERROR(0.001*INDEX(VehicleCostData!$N$13:$T$102,MATCH($B31,VehicleCostData!$A$13:$A$102,0),MATCH(U$5,VehicleCostData!$N$12:$T$12,0)),"")</f>
        <v>564.26965287362793</v>
      </c>
      <c r="V31" s="684">
        <f>IFERROR(0.001*INDEX(VehicleCostData!$N$13:$T$102,MATCH($B31,VehicleCostData!$A$13:$A$102,0),MATCH(V$5,VehicleCostData!$N$12:$T$12,0)),"")</f>
        <v>567.74278868475642</v>
      </c>
      <c r="W31" s="685">
        <f>IFERROR(0.001*INDEX(VehicleCostData!$V$13:$AB$102,MATCH($B31,VehicleCostData!$A$13:$A$102,0),MATCH(W$5,VehicleCostData!$V$12:$AB$12,0)),"")</f>
        <v>14.348700951784471</v>
      </c>
      <c r="X31" s="685">
        <f>IFERROR(0.001*INDEX(VehicleCostData!$V$13:$AB$102,MATCH($B31,VehicleCostData!$A$13:$A$102,0),MATCH(X$5,VehicleCostData!$V$12:$AB$12,0)),"")</f>
        <v>14.816137215131684</v>
      </c>
      <c r="Y31" s="685">
        <f>IFERROR(0.001*INDEX(VehicleCostData!$V$13:$AB$102,MATCH($B31,VehicleCostData!$A$13:$A$102,0),MATCH(Y$5,VehicleCostData!$V$12:$AB$12,0)),"")</f>
        <v>15.141505960687496</v>
      </c>
      <c r="Z31" s="685">
        <f>IFERROR(0.001*INDEX(VehicleCostData!$V$13:$AB$102,MATCH($B31,VehicleCostData!$A$13:$A$102,0),MATCH(Z$5,VehicleCostData!$V$12:$AB$12,0)),"")</f>
        <v>15.329055294488422</v>
      </c>
      <c r="AA31" s="686" t="s">
        <v>504</v>
      </c>
      <c r="AB31" s="686" t="s">
        <v>504</v>
      </c>
      <c r="AC31" s="694" t="str">
        <f t="shared" si="0"/>
        <v/>
      </c>
      <c r="AD31" s="689"/>
    </row>
    <row r="32" spans="2:30" x14ac:dyDescent="0.25">
      <c r="B32" s="385" t="str">
        <f>IF(ITEMS_Tech_N!D32="","",ITEMS_Tech_N!D32)</f>
        <v>*</v>
      </c>
      <c r="C32" s="232" t="str">
        <f>IF(ITEMS_Tech_N!E32="","",ITEMS_Tech_N!E32)</f>
        <v>Public Buses</v>
      </c>
      <c r="D32" s="219"/>
      <c r="E32" s="219"/>
      <c r="F32" s="377">
        <f>IFERROR(INDEX('EFF-N_ANTC'!$J$6:$N$96,MATCH($B32,'EFF-N_ANTC'!$A$6:$A$96,0),MATCH(F$5,'EFF-N_ANTC'!$J$5:$N$5,0)),"")</f>
        <v>0.23658855771912971</v>
      </c>
      <c r="G32" s="377">
        <f>IFERROR(INDEX('EFF-N_ANTC'!$J$6:$N$96,MATCH($B32,'EFF-N_ANTC'!$A$6:$A$96,0),MATCH(G$5,'EFF-N_ANTC'!$J$5:$N$5,0)),"")</f>
        <v>0.25508715046378805</v>
      </c>
      <c r="H32" s="377">
        <f>IFERROR(INDEX('EFF-N_ANTC'!$J$6:$N$96,MATCH($B32,'EFF-N_ANTC'!$A$6:$A$96,0),MATCH(H$5,'EFF-N_ANTC'!$J$5:$N$5,0)),"")</f>
        <v>0.28205684025891897</v>
      </c>
      <c r="I32" s="377">
        <f>IFERROR(INDEX('EFF-N_ANTC'!$J$6:$N$96,MATCH($B32,'EFF-N_ANTC'!$A$6:$A$96,0),MATCH(I$5,'EFF-N_ANTC'!$J$5:$N$5,0)),"")</f>
        <v>0.31187796402994067</v>
      </c>
      <c r="J32" s="379"/>
      <c r="K32" s="379"/>
      <c r="L32" s="379"/>
      <c r="M32" s="379"/>
      <c r="N32" s="379"/>
      <c r="O32" s="379">
        <f>IFERROR(INDEX('CapUnit-N_ANTC'!$C$6:$C$96,MATCH($B32,'CapUnit-N_ANTC'!$A$6:$A$96,0)),"")</f>
        <v>2.4E-2</v>
      </c>
      <c r="P32" s="684">
        <f>IFERROR(0.001*INDEX(VehicleCostData!$N$13:$T$102,MATCH($B32,VehicleCostData!$A$13:$A$102,0),MATCH(P$5,VehicleCostData!$N$12:$T$12,0)),"")</f>
        <v>531.43336858461009</v>
      </c>
      <c r="Q32" s="684">
        <f>IFERROR(0.001*INDEX(VehicleCostData!$N$13:$T$102,MATCH($B32,VehicleCostData!$A$13:$A$102,0),MATCH(Q$5,VehicleCostData!$N$12:$T$12,0)),"")</f>
        <v>540.08959568363241</v>
      </c>
      <c r="R32" s="684">
        <f>IFERROR(0.001*INDEX(VehicleCostData!$N$13:$T$102,MATCH($B32,VehicleCostData!$A$13:$A$102,0),MATCH(R$5,VehicleCostData!$N$12:$T$12,0)),"")</f>
        <v>548.74582278265507</v>
      </c>
      <c r="S32" s="684">
        <f>IFERROR(0.001*INDEX(VehicleCostData!$N$13:$T$102,MATCH($B32,VehicleCostData!$A$13:$A$102,0),MATCH(S$5,VehicleCostData!$N$12:$T$12,0)),"")</f>
        <v>554.77116992257743</v>
      </c>
      <c r="T32" s="684">
        <f>IFERROR(0.001*INDEX(VehicleCostData!$N$13:$T$102,MATCH($B32,VehicleCostData!$A$13:$A$102,0),MATCH(T$5,VehicleCostData!$N$12:$T$12,0)),"")</f>
        <v>560.7965170624999</v>
      </c>
      <c r="U32" s="684">
        <f>IFERROR(0.001*INDEX(VehicleCostData!$N$13:$T$102,MATCH($B32,VehicleCostData!$A$13:$A$102,0),MATCH(U$5,VehicleCostData!$N$12:$T$12,0)),"")</f>
        <v>564.26965287362793</v>
      </c>
      <c r="V32" s="684">
        <f>IFERROR(0.001*INDEX(VehicleCostData!$N$13:$T$102,MATCH($B32,VehicleCostData!$A$13:$A$102,0),MATCH(V$5,VehicleCostData!$N$12:$T$12,0)),"")</f>
        <v>567.74278868475642</v>
      </c>
      <c r="W32" s="685">
        <f>IFERROR(0.001*INDEX(VehicleCostData!$V$13:$AB$102,MATCH($B32,VehicleCostData!$A$13:$A$102,0),MATCH(W$5,VehicleCostData!$V$12:$AB$12,0)),"")</f>
        <v>14.348700951784471</v>
      </c>
      <c r="X32" s="685">
        <f>IFERROR(0.001*INDEX(VehicleCostData!$V$13:$AB$102,MATCH($B32,VehicleCostData!$A$13:$A$102,0),MATCH(X$5,VehicleCostData!$V$12:$AB$12,0)),"")</f>
        <v>14.816137215131684</v>
      </c>
      <c r="Y32" s="685">
        <f>IFERROR(0.001*INDEX(VehicleCostData!$V$13:$AB$102,MATCH($B32,VehicleCostData!$A$13:$A$102,0),MATCH(Y$5,VehicleCostData!$V$12:$AB$12,0)),"")</f>
        <v>15.141505960687496</v>
      </c>
      <c r="Z32" s="685">
        <f>IFERROR(0.001*INDEX(VehicleCostData!$V$13:$AB$102,MATCH($B32,VehicleCostData!$A$13:$A$102,0),MATCH(Z$5,VehicleCostData!$V$12:$AB$12,0)),"")</f>
        <v>15.329055294488422</v>
      </c>
      <c r="AA32" s="686" t="s">
        <v>504</v>
      </c>
      <c r="AB32" s="686" t="s">
        <v>504</v>
      </c>
      <c r="AC32" s="694" t="str">
        <f t="shared" si="0"/>
        <v/>
      </c>
      <c r="AD32" s="689"/>
    </row>
    <row r="33" spans="2:30" x14ac:dyDescent="0.25">
      <c r="B33" s="385" t="str">
        <f>IF(ITEMS_Tech_N!D33="","",ITEMS_Tech_N!D33)</f>
        <v>TPPUBUSODS-N</v>
      </c>
      <c r="C33" s="232" t="str">
        <f>IF(ITEMS_Tech_N!E33="","",ITEMS_Tech_N!E33)</f>
        <v>Transport Passenger Bus Oil Diesel-N</v>
      </c>
      <c r="D33" s="219" t="s">
        <v>411</v>
      </c>
      <c r="E33" s="219" t="s">
        <v>235</v>
      </c>
      <c r="F33" s="377">
        <f>IFERROR(INDEX('EFF-N_ANTC'!$J$6:$N$96,MATCH($B33,'EFF-N_ANTC'!$A$6:$A$96,0),MATCH(F$5,'EFF-N_ANTC'!$J$5:$N$5,0)),"")</f>
        <v>6.5323297732971908E-2</v>
      </c>
      <c r="G33" s="377">
        <f>IFERROR(INDEX('EFF-N_ANTC'!$J$6:$N$96,MATCH($B33,'EFF-N_ANTC'!$A$6:$A$96,0),MATCH(G$5,'EFF-N_ANTC'!$J$5:$N$5,0)),"")</f>
        <v>7.043085277768743E-2</v>
      </c>
      <c r="H33" s="377">
        <f>IFERROR(INDEX('EFF-N_ANTC'!$J$6:$N$96,MATCH($B33,'EFF-N_ANTC'!$A$6:$A$96,0),MATCH(H$5,'EFF-N_ANTC'!$J$5:$N$5,0)),"")</f>
        <v>7.7877320574937056E-2</v>
      </c>
      <c r="I33" s="377">
        <f>IFERROR(INDEX('EFF-N_ANTC'!$J$6:$N$96,MATCH($B33,'EFF-N_ANTC'!$A$6:$A$96,0),MATCH(I$5,'EFF-N_ANTC'!$J$5:$N$5,0)),"")</f>
        <v>8.6111083718879447E-2</v>
      </c>
      <c r="J33" s="652">
        <v>1</v>
      </c>
      <c r="K33" s="652">
        <v>1</v>
      </c>
      <c r="L33" s="652">
        <v>1</v>
      </c>
      <c r="M33" s="652">
        <v>1</v>
      </c>
      <c r="N33" s="652">
        <v>1</v>
      </c>
      <c r="O33" s="379">
        <f>IFERROR(INDEX('CapUnit-N_ANTC'!$C$6:$C$96,MATCH($B33,'CapUnit-N_ANTC'!$A$6:$A$96,0)),"")</f>
        <v>0.06</v>
      </c>
      <c r="P33" s="684">
        <f>IFERROR(0.001*INDEX(VehicleCostData!$N$13:$T$102,MATCH($B33,VehicleCostData!$A$13:$A$102,0),MATCH(P$5,VehicleCostData!$N$12:$T$12,0)),"")</f>
        <v>1999.9686663604944</v>
      </c>
      <c r="Q33" s="684">
        <f>IFERROR(0.001*INDEX(VehicleCostData!$N$13:$T$102,MATCH($B33,VehicleCostData!$A$13:$A$102,0),MATCH(Q$5,VehicleCostData!$N$12:$T$12,0)),"")</f>
        <v>2044.6558109124919</v>
      </c>
      <c r="R33" s="684">
        <f>IFERROR(0.001*INDEX(VehicleCostData!$N$13:$T$102,MATCH($B33,VehicleCostData!$A$13:$A$102,0),MATCH(R$5,VehicleCostData!$N$12:$T$12,0)),"")</f>
        <v>2059.0730062221282</v>
      </c>
      <c r="S33" s="684">
        <f>IFERROR(0.001*INDEX(VehicleCostData!$N$13:$T$102,MATCH($B33,VehicleCostData!$A$13:$A$102,0),MATCH(S$5,VehicleCostData!$N$12:$T$12,0)),"")</f>
        <v>2070.490430084591</v>
      </c>
      <c r="T33" s="684">
        <f>IFERROR(0.001*INDEX(VehicleCostData!$N$13:$T$102,MATCH($B33,VehicleCostData!$A$13:$A$102,0),MATCH(T$5,VehicleCostData!$N$12:$T$12,0)),"")</f>
        <v>2081.9078539470534</v>
      </c>
      <c r="U33" s="684">
        <f>IFERROR(0.001*INDEX(VehicleCostData!$N$13:$T$102,MATCH($B33,VehicleCostData!$A$13:$A$102,0),MATCH(U$5,VehicleCostData!$N$12:$T$12,0)),"")</f>
        <v>2086.6440549279741</v>
      </c>
      <c r="V33" s="684">
        <f>IFERROR(0.001*INDEX(VehicleCostData!$N$13:$T$102,MATCH($B33,VehicleCostData!$A$13:$A$102,0),MATCH(V$5,VehicleCostData!$N$12:$T$12,0)),"")</f>
        <v>2091.3802559088954</v>
      </c>
      <c r="W33" s="685">
        <f>IFERROR(0.001*INDEX(VehicleCostData!$V$13:$AB$102,MATCH($B33,VehicleCostData!$A$13:$A$102,0),MATCH(W$5,VehicleCostData!$V$12:$AB$12,0)),"")</f>
        <v>53.999153991733344</v>
      </c>
      <c r="X33" s="685">
        <f>IFERROR(0.001*INDEX(VehicleCostData!$V$13:$AB$102,MATCH($B33,VehicleCostData!$A$13:$A$102,0),MATCH(X$5,VehicleCostData!$V$12:$AB$12,0)),"")</f>
        <v>55.594971167997457</v>
      </c>
      <c r="Y33" s="685">
        <f>IFERROR(0.001*INDEX(VehicleCostData!$V$13:$AB$102,MATCH($B33,VehicleCostData!$A$13:$A$102,0),MATCH(Y$5,VehicleCostData!$V$12:$AB$12,0)),"")</f>
        <v>56.211512056570434</v>
      </c>
      <c r="Z33" s="685">
        <f>IFERROR(0.001*INDEX(VehicleCostData!$V$13:$AB$102,MATCH($B33,VehicleCostData!$A$13:$A$102,0),MATCH(Z$5,VehicleCostData!$V$12:$AB$12,0)),"")</f>
        <v>56.467266909540172</v>
      </c>
      <c r="AA33" s="652">
        <v>20</v>
      </c>
      <c r="AB33" s="652">
        <v>20</v>
      </c>
      <c r="AC33" s="694">
        <f t="shared" si="0"/>
        <v>2018</v>
      </c>
      <c r="AD33" s="688">
        <v>1</v>
      </c>
    </row>
    <row r="34" spans="2:30" x14ac:dyDescent="0.25">
      <c r="B34" s="385" t="str">
        <f>IF(ITEMS_Tech_N!D34="","",ITEMS_Tech_N!D34)</f>
        <v>*</v>
      </c>
      <c r="C34" s="232" t="str">
        <f>IF(ITEMS_Tech_N!E34="","",ITEMS_Tech_N!E34)</f>
        <v>Transport Passenger Bus Gas-N</v>
      </c>
      <c r="D34" s="219" t="s">
        <v>563</v>
      </c>
      <c r="E34" s="219" t="s">
        <v>235</v>
      </c>
      <c r="F34" s="377">
        <f>IFERROR(INDEX('EFF-N_ANTC'!$J$6:$N$96,MATCH($B34,'EFF-N_ANTC'!$A$6:$A$96,0),MATCH(F$5,'EFF-N_ANTC'!$J$5:$N$5,0)),"")</f>
        <v>0.23658855771912971</v>
      </c>
      <c r="G34" s="377">
        <f>IFERROR(INDEX('EFF-N_ANTC'!$J$6:$N$96,MATCH($B34,'EFF-N_ANTC'!$A$6:$A$96,0),MATCH(G$5,'EFF-N_ANTC'!$J$5:$N$5,0)),"")</f>
        <v>0.25508715046378805</v>
      </c>
      <c r="H34" s="377">
        <f>IFERROR(INDEX('EFF-N_ANTC'!$J$6:$N$96,MATCH($B34,'EFF-N_ANTC'!$A$6:$A$96,0),MATCH(H$5,'EFF-N_ANTC'!$J$5:$N$5,0)),"")</f>
        <v>0.28205684025891897</v>
      </c>
      <c r="I34" s="377">
        <f>IFERROR(INDEX('EFF-N_ANTC'!$J$6:$N$96,MATCH($B34,'EFF-N_ANTC'!$A$6:$A$96,0),MATCH(I$5,'EFF-N_ANTC'!$J$5:$N$5,0)),"")</f>
        <v>0.31187796402994067</v>
      </c>
      <c r="J34" s="652">
        <v>1</v>
      </c>
      <c r="K34" s="652">
        <v>1</v>
      </c>
      <c r="L34" s="652">
        <v>1</v>
      </c>
      <c r="M34" s="652">
        <v>1</v>
      </c>
      <c r="N34" s="652">
        <v>1</v>
      </c>
      <c r="O34" s="379">
        <f>IFERROR(INDEX('CapUnit-N_ANTC'!$C$6:$C$96,MATCH($B34,'CapUnit-N_ANTC'!$A$6:$A$96,0)),"")</f>
        <v>2.4E-2</v>
      </c>
      <c r="P34" s="684">
        <f>IFERROR(0.001*INDEX(VehicleCostData!$N$13:$T$102,MATCH($B34,VehicleCostData!$A$13:$A$102,0),MATCH(P$5,VehicleCostData!$N$12:$T$12,0)),"")</f>
        <v>531.43336858461009</v>
      </c>
      <c r="Q34" s="684">
        <f>IFERROR(0.001*INDEX(VehicleCostData!$N$13:$T$102,MATCH($B34,VehicleCostData!$A$13:$A$102,0),MATCH(Q$5,VehicleCostData!$N$12:$T$12,0)),"")</f>
        <v>540.08959568363241</v>
      </c>
      <c r="R34" s="684">
        <f>IFERROR(0.001*INDEX(VehicleCostData!$N$13:$T$102,MATCH($B34,VehicleCostData!$A$13:$A$102,0),MATCH(R$5,VehicleCostData!$N$12:$T$12,0)),"")</f>
        <v>548.74582278265507</v>
      </c>
      <c r="S34" s="684">
        <f>IFERROR(0.001*INDEX(VehicleCostData!$N$13:$T$102,MATCH($B34,VehicleCostData!$A$13:$A$102,0),MATCH(S$5,VehicleCostData!$N$12:$T$12,0)),"")</f>
        <v>554.77116992257743</v>
      </c>
      <c r="T34" s="684">
        <f>IFERROR(0.001*INDEX(VehicleCostData!$N$13:$T$102,MATCH($B34,VehicleCostData!$A$13:$A$102,0),MATCH(T$5,VehicleCostData!$N$12:$T$12,0)),"")</f>
        <v>560.7965170624999</v>
      </c>
      <c r="U34" s="684">
        <f>IFERROR(0.001*INDEX(VehicleCostData!$N$13:$T$102,MATCH($B34,VehicleCostData!$A$13:$A$102,0),MATCH(U$5,VehicleCostData!$N$12:$T$12,0)),"")</f>
        <v>564.26965287362793</v>
      </c>
      <c r="V34" s="684">
        <f>IFERROR(0.001*INDEX(VehicleCostData!$N$13:$T$102,MATCH($B34,VehicleCostData!$A$13:$A$102,0),MATCH(V$5,VehicleCostData!$N$12:$T$12,0)),"")</f>
        <v>567.74278868475642</v>
      </c>
      <c r="W34" s="685">
        <f>IFERROR(0.001*INDEX(VehicleCostData!$V$13:$AB$102,MATCH($B34,VehicleCostData!$A$13:$A$102,0),MATCH(W$5,VehicleCostData!$V$12:$AB$12,0)),"")</f>
        <v>14.348700951784471</v>
      </c>
      <c r="X34" s="685">
        <f>IFERROR(0.001*INDEX(VehicleCostData!$V$13:$AB$102,MATCH($B34,VehicleCostData!$A$13:$A$102,0),MATCH(X$5,VehicleCostData!$V$12:$AB$12,0)),"")</f>
        <v>14.816137215131684</v>
      </c>
      <c r="Y34" s="685">
        <f>IFERROR(0.001*INDEX(VehicleCostData!$V$13:$AB$102,MATCH($B34,VehicleCostData!$A$13:$A$102,0),MATCH(Y$5,VehicleCostData!$V$12:$AB$12,0)),"")</f>
        <v>15.141505960687496</v>
      </c>
      <c r="Z34" s="685">
        <f>IFERROR(0.001*INDEX(VehicleCostData!$V$13:$AB$102,MATCH($B34,VehicleCostData!$A$13:$A$102,0),MATCH(Z$5,VehicleCostData!$V$12:$AB$12,0)),"")</f>
        <v>15.329055294488422</v>
      </c>
      <c r="AA34" s="652">
        <v>20</v>
      </c>
      <c r="AB34" s="652">
        <v>20</v>
      </c>
      <c r="AC34" s="694">
        <f t="shared" si="0"/>
        <v>2080</v>
      </c>
      <c r="AD34" s="688">
        <v>3</v>
      </c>
    </row>
    <row r="35" spans="2:30" x14ac:dyDescent="0.25">
      <c r="B35" s="385" t="str">
        <f>IF(ITEMS_Tech_N!D35="","",ITEMS_Tech_N!D35)</f>
        <v>TPPUBUSHGNF-N</v>
      </c>
      <c r="C35" s="232" t="str">
        <f>IF(ITEMS_Tech_N!E35="","",ITEMS_Tech_N!E35)</f>
        <v>Transport Passenger Bus Hydrogen Fuel Cell-N</v>
      </c>
      <c r="D35" s="219" t="s">
        <v>804</v>
      </c>
      <c r="E35" s="219" t="s">
        <v>235</v>
      </c>
      <c r="F35" s="377">
        <f>IFERROR(INDEX('EFF-N_ANTC'!$J$6:$N$96,MATCH($B35,'EFF-N_ANTC'!$A$6:$A$96,0),MATCH(F$5,'EFF-N_ANTC'!$J$5:$N$5,0)),"")</f>
        <v>0.16136266593571041</v>
      </c>
      <c r="G35" s="377">
        <f>IFERROR(INDEX('EFF-N_ANTC'!$J$6:$N$96,MATCH($B35,'EFF-N_ANTC'!$A$6:$A$96,0),MATCH(G$5,'EFF-N_ANTC'!$J$5:$N$5,0)),"")</f>
        <v>0.17397943096489973</v>
      </c>
      <c r="H35" s="377">
        <f>IFERROR(INDEX('EFF-N_ANTC'!$J$6:$N$96,MATCH($B35,'EFF-N_ANTC'!$A$6:$A$96,0),MATCH(H$5,'EFF-N_ANTC'!$J$5:$N$5,0)),"")</f>
        <v>0.19237381608122434</v>
      </c>
      <c r="I35" s="377">
        <f>IFERROR(INDEX('EFF-N_ANTC'!$J$6:$N$96,MATCH($B35,'EFF-N_ANTC'!$A$6:$A$96,0),MATCH(I$5,'EFF-N_ANTC'!$J$5:$N$5,0)),"")</f>
        <v>0.21271299088867007</v>
      </c>
      <c r="J35" s="652">
        <v>1</v>
      </c>
      <c r="K35" s="652">
        <v>1</v>
      </c>
      <c r="L35" s="652">
        <v>1</v>
      </c>
      <c r="M35" s="652">
        <v>1</v>
      </c>
      <c r="N35" s="652">
        <v>1</v>
      </c>
      <c r="O35" s="379">
        <f>IFERROR(INDEX('CapUnit-N_ANTC'!$C$6:$C$96,MATCH($B35,'CapUnit-N_ANTC'!$A$6:$A$96,0)),"")</f>
        <v>0.06</v>
      </c>
      <c r="P35" s="684">
        <f>IFERROR(0.001*INDEX(VehicleCostData!$N$13:$T$102,MATCH($B35,VehicleCostData!$A$13:$A$102,0),MATCH(P$5,VehicleCostData!$N$12:$T$12,0)),"")</f>
        <v>8025.0763705178751</v>
      </c>
      <c r="Q35" s="684">
        <f>IFERROR(0.001*INDEX(VehicleCostData!$N$13:$T$102,MATCH($B35,VehicleCostData!$A$13:$A$102,0),MATCH(Q$5,VehicleCostData!$N$12:$T$12,0)),"")</f>
        <v>7013.3282443530788</v>
      </c>
      <c r="R35" s="684">
        <f>IFERROR(0.001*INDEX(VehicleCostData!$N$13:$T$102,MATCH($B35,VehicleCostData!$A$13:$A$102,0),MATCH(R$5,VehicleCostData!$N$12:$T$12,0)),"")</f>
        <v>6526.5851143903974</v>
      </c>
      <c r="S35" s="684">
        <f>IFERROR(0.001*INDEX(VehicleCostData!$N$13:$T$102,MATCH($B35,VehicleCostData!$A$13:$A$102,0),MATCH(S$5,VehicleCostData!$N$12:$T$12,0)),"")</f>
        <v>6157.9663915634483</v>
      </c>
      <c r="T35" s="684">
        <f>IFERROR(0.001*INDEX(VehicleCostData!$N$13:$T$102,MATCH($B35,VehicleCostData!$A$13:$A$102,0),MATCH(T$5,VehicleCostData!$N$12:$T$12,0)),"")</f>
        <v>5789.3476687364819</v>
      </c>
      <c r="U35" s="684">
        <f>IFERROR(0.001*INDEX(VehicleCostData!$N$13:$T$102,MATCH($B35,VehicleCostData!$A$13:$A$102,0),MATCH(U$5,VehicleCostData!$N$12:$T$12,0)),"")</f>
        <v>5719.9092211935895</v>
      </c>
      <c r="V35" s="684">
        <f>IFERROR(0.001*INDEX(VehicleCostData!$N$13:$T$102,MATCH($B35,VehicleCostData!$A$13:$A$102,0),MATCH(V$5,VehicleCostData!$N$12:$T$12,0)),"")</f>
        <v>5650.4707736506925</v>
      </c>
      <c r="W35" s="685">
        <f>IFERROR(0.001*INDEX(VehicleCostData!$V$13:$AB$102,MATCH($B35,VehicleCostData!$A$13:$A$102,0),MATCH(W$5,VehicleCostData!$V$12:$AB$12,0)),"")</f>
        <v>216.67706200398263</v>
      </c>
      <c r="X35" s="685">
        <f>IFERROR(0.001*INDEX(VehicleCostData!$V$13:$AB$102,MATCH($B35,VehicleCostData!$A$13:$A$102,0),MATCH(X$5,VehicleCostData!$V$12:$AB$12,0)),"")</f>
        <v>176.21779808854075</v>
      </c>
      <c r="Y35" s="685">
        <f>IFERROR(0.001*INDEX(VehicleCostData!$V$13:$AB$102,MATCH($B35,VehicleCostData!$A$13:$A$102,0),MATCH(Y$5,VehicleCostData!$V$12:$AB$12,0)),"")</f>
        <v>156.31238705588501</v>
      </c>
      <c r="Z35" s="685">
        <f>IFERROR(0.001*INDEX(VehicleCostData!$V$13:$AB$102,MATCH($B35,VehicleCostData!$A$13:$A$102,0),MATCH(Z$5,VehicleCostData!$V$12:$AB$12,0)),"")</f>
        <v>152.56271088856869</v>
      </c>
      <c r="AA35" s="652">
        <v>20</v>
      </c>
      <c r="AB35" s="652">
        <v>20</v>
      </c>
      <c r="AC35" s="694">
        <f t="shared" si="0"/>
        <v>2025</v>
      </c>
      <c r="AD35" s="688">
        <v>2</v>
      </c>
    </row>
    <row r="36" spans="2:30" x14ac:dyDescent="0.25">
      <c r="B36" s="385" t="str">
        <f>IF(ITEMS_Tech_N!D36="","",ITEMS_Tech_N!D36)</f>
        <v>*</v>
      </c>
      <c r="C36" s="232" t="str">
        <f>IF(ITEMS_Tech_N!E36="","",ITEMS_Tech_N!E36)</f>
        <v>Transport Passenger Bus Oil Blended Gasoline-Ethanol-E85-N</v>
      </c>
      <c r="D36" s="219" t="s">
        <v>805</v>
      </c>
      <c r="E36" s="219" t="s">
        <v>235</v>
      </c>
      <c r="F36" s="377">
        <f>IFERROR(INDEX('EFF-N_ANTC'!$J$6:$N$96,MATCH($B36,'EFF-N_ANTC'!$A$6:$A$96,0),MATCH(F$5,'EFF-N_ANTC'!$J$5:$N$5,0)),"")</f>
        <v>0.23658855771912971</v>
      </c>
      <c r="G36" s="377">
        <f>IFERROR(INDEX('EFF-N_ANTC'!$J$6:$N$96,MATCH($B36,'EFF-N_ANTC'!$A$6:$A$96,0),MATCH(G$5,'EFF-N_ANTC'!$J$5:$N$5,0)),"")</f>
        <v>0.25508715046378805</v>
      </c>
      <c r="H36" s="377">
        <f>IFERROR(INDEX('EFF-N_ANTC'!$J$6:$N$96,MATCH($B36,'EFF-N_ANTC'!$A$6:$A$96,0),MATCH(H$5,'EFF-N_ANTC'!$J$5:$N$5,0)),"")</f>
        <v>0.28205684025891897</v>
      </c>
      <c r="I36" s="377">
        <f>IFERROR(INDEX('EFF-N_ANTC'!$J$6:$N$96,MATCH($B36,'EFF-N_ANTC'!$A$6:$A$96,0),MATCH(I$5,'EFF-N_ANTC'!$J$5:$N$5,0)),"")</f>
        <v>0.31187796402994067</v>
      </c>
      <c r="J36" s="652">
        <v>1</v>
      </c>
      <c r="K36" s="652">
        <v>1</v>
      </c>
      <c r="L36" s="652">
        <v>1</v>
      </c>
      <c r="M36" s="652">
        <v>1</v>
      </c>
      <c r="N36" s="652">
        <v>1</v>
      </c>
      <c r="O36" s="379">
        <f>IFERROR(INDEX('CapUnit-N_ANTC'!$C$6:$C$96,MATCH($B36,'CapUnit-N_ANTC'!$A$6:$A$96,0)),"")</f>
        <v>2.4E-2</v>
      </c>
      <c r="P36" s="684">
        <f>IFERROR(0.001*INDEX(VehicleCostData!$N$13:$T$102,MATCH($B36,VehicleCostData!$A$13:$A$102,0),MATCH(P$5,VehicleCostData!$N$12:$T$12,0)),"")</f>
        <v>531.43336858461009</v>
      </c>
      <c r="Q36" s="684">
        <f>IFERROR(0.001*INDEX(VehicleCostData!$N$13:$T$102,MATCH($B36,VehicleCostData!$A$13:$A$102,0),MATCH(Q$5,VehicleCostData!$N$12:$T$12,0)),"")</f>
        <v>540.08959568363241</v>
      </c>
      <c r="R36" s="684">
        <f>IFERROR(0.001*INDEX(VehicleCostData!$N$13:$T$102,MATCH($B36,VehicleCostData!$A$13:$A$102,0),MATCH(R$5,VehicleCostData!$N$12:$T$12,0)),"")</f>
        <v>548.74582278265507</v>
      </c>
      <c r="S36" s="684">
        <f>IFERROR(0.001*INDEX(VehicleCostData!$N$13:$T$102,MATCH($B36,VehicleCostData!$A$13:$A$102,0),MATCH(S$5,VehicleCostData!$N$12:$T$12,0)),"")</f>
        <v>554.77116992257743</v>
      </c>
      <c r="T36" s="684">
        <f>IFERROR(0.001*INDEX(VehicleCostData!$N$13:$T$102,MATCH($B36,VehicleCostData!$A$13:$A$102,0),MATCH(T$5,VehicleCostData!$N$12:$T$12,0)),"")</f>
        <v>560.7965170624999</v>
      </c>
      <c r="U36" s="684">
        <f>IFERROR(0.001*INDEX(VehicleCostData!$N$13:$T$102,MATCH($B36,VehicleCostData!$A$13:$A$102,0),MATCH(U$5,VehicleCostData!$N$12:$T$12,0)),"")</f>
        <v>564.26965287362793</v>
      </c>
      <c r="V36" s="684">
        <f>IFERROR(0.001*INDEX(VehicleCostData!$N$13:$T$102,MATCH($B36,VehicleCostData!$A$13:$A$102,0),MATCH(V$5,VehicleCostData!$N$12:$T$12,0)),"")</f>
        <v>567.74278868475642</v>
      </c>
      <c r="W36" s="685">
        <f>IFERROR(0.001*INDEX(VehicleCostData!$V$13:$AB$102,MATCH($B36,VehicleCostData!$A$13:$A$102,0),MATCH(W$5,VehicleCostData!$V$12:$AB$12,0)),"")</f>
        <v>14.348700951784471</v>
      </c>
      <c r="X36" s="685">
        <f>IFERROR(0.001*INDEX(VehicleCostData!$V$13:$AB$102,MATCH($B36,VehicleCostData!$A$13:$A$102,0),MATCH(X$5,VehicleCostData!$V$12:$AB$12,0)),"")</f>
        <v>14.816137215131684</v>
      </c>
      <c r="Y36" s="685">
        <f>IFERROR(0.001*INDEX(VehicleCostData!$V$13:$AB$102,MATCH($B36,VehicleCostData!$A$13:$A$102,0),MATCH(Y$5,VehicleCostData!$V$12:$AB$12,0)),"")</f>
        <v>15.141505960687496</v>
      </c>
      <c r="Z36" s="685">
        <f>IFERROR(0.001*INDEX(VehicleCostData!$V$13:$AB$102,MATCH($B36,VehicleCostData!$A$13:$A$102,0),MATCH(Z$5,VehicleCostData!$V$12:$AB$12,0)),"")</f>
        <v>15.329055294488422</v>
      </c>
      <c r="AA36" s="652">
        <v>20</v>
      </c>
      <c r="AB36" s="652">
        <v>20</v>
      </c>
      <c r="AC36" s="694">
        <f t="shared" si="0"/>
        <v>2080</v>
      </c>
      <c r="AD36" s="688">
        <v>3</v>
      </c>
    </row>
    <row r="37" spans="2:30" x14ac:dyDescent="0.25">
      <c r="B37" s="385" t="str">
        <f>IF(ITEMS_Tech_N!D37="","",ITEMS_Tech_N!D37)</f>
        <v>TPPUBUSELC-N</v>
      </c>
      <c r="C37" s="232" t="str">
        <f>IF(ITEMS_Tech_N!E37="","",ITEMS_Tech_N!E37)</f>
        <v>Transport Passenger Bus Electricity-N</v>
      </c>
      <c r="D37" s="219" t="s">
        <v>412</v>
      </c>
      <c r="E37" s="219" t="s">
        <v>235</v>
      </c>
      <c r="F37" s="377">
        <f>IFERROR(INDEX('EFF-N_ANTC'!$J$6:$N$96,MATCH($B37,'EFF-N_ANTC'!$A$6:$A$96,0),MATCH(F$5,'EFF-N_ANTC'!$J$5:$N$5,0)),"")</f>
        <v>0.25252525252525249</v>
      </c>
      <c r="G37" s="377">
        <f>IFERROR(INDEX('EFF-N_ANTC'!$J$6:$N$96,MATCH($B37,'EFF-N_ANTC'!$A$6:$A$96,0),MATCH(G$5,'EFF-N_ANTC'!$J$5:$N$5,0)),"")</f>
        <v>0.2722699174796428</v>
      </c>
      <c r="H37" s="377">
        <f>IFERROR(INDEX('EFF-N_ANTC'!$J$6:$N$96,MATCH($B37,'EFF-N_ANTC'!$A$6:$A$96,0),MATCH(H$5,'EFF-N_ANTC'!$J$5:$N$5,0)),"")</f>
        <v>0.30105629578847215</v>
      </c>
      <c r="I37" s="377">
        <f>IFERROR(INDEX('EFF-N_ANTC'!$J$6:$N$96,MATCH($B37,'EFF-N_ANTC'!$A$6:$A$96,0),MATCH(I$5,'EFF-N_ANTC'!$J$5:$N$5,0)),"")</f>
        <v>0.33288618174518919</v>
      </c>
      <c r="J37" s="652">
        <v>1</v>
      </c>
      <c r="K37" s="652">
        <v>1</v>
      </c>
      <c r="L37" s="652">
        <v>1</v>
      </c>
      <c r="M37" s="652">
        <v>1</v>
      </c>
      <c r="N37" s="652">
        <v>1</v>
      </c>
      <c r="O37" s="379">
        <f>IFERROR(INDEX('CapUnit-N_ANTC'!$C$6:$C$96,MATCH($B37,'CapUnit-N_ANTC'!$A$6:$A$96,0)),"")</f>
        <v>0.06</v>
      </c>
      <c r="P37" s="684">
        <f>IFERROR(0.001*INDEX(VehicleCostData!$N$13:$T$102,MATCH($B37,VehicleCostData!$A$13:$A$102,0),MATCH(P$5,VehicleCostData!$N$12:$T$12,0)),"")</f>
        <v>4683.8835147209202</v>
      </c>
      <c r="Q37" s="684">
        <f>IFERROR(0.001*INDEX(VehicleCostData!$N$13:$T$102,MATCH($B37,VehicleCostData!$A$13:$A$102,0),MATCH(Q$5,VehicleCostData!$N$12:$T$12,0)),"")</f>
        <v>3676.1308887347554</v>
      </c>
      <c r="R37" s="684">
        <f>IFERROR(0.001*INDEX(VehicleCostData!$N$13:$T$102,MATCH($B37,VehicleCostData!$A$13:$A$102,0),MATCH(R$5,VehicleCostData!$N$12:$T$12,0)),"")</f>
        <v>2974.8005487583659</v>
      </c>
      <c r="S37" s="684">
        <f>IFERROR(0.001*INDEX(VehicleCostData!$N$13:$T$102,MATCH($B37,VehicleCostData!$A$13:$A$102,0),MATCH(S$5,VehicleCostData!$N$12:$T$12,0)),"")</f>
        <v>2808.7908031861894</v>
      </c>
      <c r="T37" s="684">
        <f>IFERROR(0.001*INDEX(VehicleCostData!$N$13:$T$102,MATCH($B37,VehicleCostData!$A$13:$A$102,0),MATCH(T$5,VehicleCostData!$N$12:$T$12,0)),"")</f>
        <v>2642.7810576140159</v>
      </c>
      <c r="U37" s="684">
        <f>IFERROR(0.001*INDEX(VehicleCostData!$N$13:$T$102,MATCH($B37,VehicleCostData!$A$13:$A$102,0),MATCH(U$5,VehicleCostData!$N$12:$T$12,0)),"")</f>
        <v>2593.4899438283137</v>
      </c>
      <c r="V37" s="684">
        <f>IFERROR(0.001*INDEX(VehicleCostData!$N$13:$T$102,MATCH($B37,VehicleCostData!$A$13:$A$102,0),MATCH(V$5,VehicleCostData!$N$12:$T$12,0)),"")</f>
        <v>2544.198830042611</v>
      </c>
      <c r="W37" s="685">
        <f>IFERROR(0.001*INDEX(VehicleCostData!$V$13:$AB$102,MATCH($B37,VehicleCostData!$A$13:$A$102,0),MATCH(W$5,VehicleCostData!$V$12:$AB$12,0)),"")</f>
        <v>88.993786779697487</v>
      </c>
      <c r="X37" s="685">
        <f>IFERROR(0.001*INDEX(VehicleCostData!$V$13:$AB$102,MATCH($B37,VehicleCostData!$A$13:$A$102,0),MATCH(X$5,VehicleCostData!$V$12:$AB$12,0)),"")</f>
        <v>56.521210426408942</v>
      </c>
      <c r="Y37" s="685">
        <f>IFERROR(0.001*INDEX(VehicleCostData!$V$13:$AB$102,MATCH($B37,VehicleCostData!$A$13:$A$102,0),MATCH(Y$5,VehicleCostData!$V$12:$AB$12,0)),"")</f>
        <v>50.212840094666305</v>
      </c>
      <c r="Z37" s="685">
        <f>IFERROR(0.001*INDEX(VehicleCostData!$V$13:$AB$102,MATCH($B37,VehicleCostData!$A$13:$A$102,0),MATCH(Z$5,VehicleCostData!$V$12:$AB$12,0)),"")</f>
        <v>48.339777770809604</v>
      </c>
      <c r="AA37" s="652">
        <v>20</v>
      </c>
      <c r="AB37" s="652">
        <v>20</v>
      </c>
      <c r="AC37" s="694">
        <f t="shared" si="0"/>
        <v>2018</v>
      </c>
      <c r="AD37" s="688">
        <v>1</v>
      </c>
    </row>
    <row r="38" spans="2:30" x14ac:dyDescent="0.25">
      <c r="B38" s="385" t="str">
        <f>IF(ITEMS_Tech_N!D38="","",ITEMS_Tech_N!D38)</f>
        <v>*</v>
      </c>
      <c r="C38" s="232" t="str">
        <f>IF(ITEMS_Tech_N!E38="","",ITEMS_Tech_N!E38)</f>
        <v/>
      </c>
      <c r="D38" s="219"/>
      <c r="E38" s="219"/>
      <c r="F38" s="377">
        <f>IFERROR(INDEX('EFF-N_ANTC'!$J$6:$N$96,MATCH($B38,'EFF-N_ANTC'!$A$6:$A$96,0),MATCH(F$5,'EFF-N_ANTC'!$J$5:$N$5,0)),"")</f>
        <v>0.23658855771912971</v>
      </c>
      <c r="G38" s="377">
        <f>IFERROR(INDEX('EFF-N_ANTC'!$J$6:$N$96,MATCH($B38,'EFF-N_ANTC'!$A$6:$A$96,0),MATCH(G$5,'EFF-N_ANTC'!$J$5:$N$5,0)),"")</f>
        <v>0.25508715046378805</v>
      </c>
      <c r="H38" s="377">
        <f>IFERROR(INDEX('EFF-N_ANTC'!$J$6:$N$96,MATCH($B38,'EFF-N_ANTC'!$A$6:$A$96,0),MATCH(H$5,'EFF-N_ANTC'!$J$5:$N$5,0)),"")</f>
        <v>0.28205684025891897</v>
      </c>
      <c r="I38" s="377">
        <f>IFERROR(INDEX('EFF-N_ANTC'!$J$6:$N$96,MATCH($B38,'EFF-N_ANTC'!$A$6:$A$96,0),MATCH(I$5,'EFF-N_ANTC'!$J$5:$N$5,0)),"")</f>
        <v>0.31187796402994067</v>
      </c>
      <c r="J38" s="379"/>
      <c r="K38" s="379"/>
      <c r="L38" s="379"/>
      <c r="M38" s="379"/>
      <c r="N38" s="379"/>
      <c r="O38" s="379">
        <f>IFERROR(INDEX('CapUnit-N_ANTC'!$C$6:$C$96,MATCH($B38,'CapUnit-N_ANTC'!$A$6:$A$96,0)),"")</f>
        <v>2.4E-2</v>
      </c>
      <c r="P38" s="684">
        <f>IFERROR(0.001*INDEX(VehicleCostData!$N$13:$T$102,MATCH($B38,VehicleCostData!$A$13:$A$102,0),MATCH(P$5,VehicleCostData!$N$12:$T$12,0)),"")</f>
        <v>531.43336858461009</v>
      </c>
      <c r="Q38" s="684">
        <f>IFERROR(0.001*INDEX(VehicleCostData!$N$13:$T$102,MATCH($B38,VehicleCostData!$A$13:$A$102,0),MATCH(Q$5,VehicleCostData!$N$12:$T$12,0)),"")</f>
        <v>540.08959568363241</v>
      </c>
      <c r="R38" s="684">
        <f>IFERROR(0.001*INDEX(VehicleCostData!$N$13:$T$102,MATCH($B38,VehicleCostData!$A$13:$A$102,0),MATCH(R$5,VehicleCostData!$N$12:$T$12,0)),"")</f>
        <v>548.74582278265507</v>
      </c>
      <c r="S38" s="684">
        <f>IFERROR(0.001*INDEX(VehicleCostData!$N$13:$T$102,MATCH($B38,VehicleCostData!$A$13:$A$102,0),MATCH(S$5,VehicleCostData!$N$12:$T$12,0)),"")</f>
        <v>554.77116992257743</v>
      </c>
      <c r="T38" s="684">
        <f>IFERROR(0.001*INDEX(VehicleCostData!$N$13:$T$102,MATCH($B38,VehicleCostData!$A$13:$A$102,0),MATCH(T$5,VehicleCostData!$N$12:$T$12,0)),"")</f>
        <v>560.7965170624999</v>
      </c>
      <c r="U38" s="684">
        <f>IFERROR(0.001*INDEX(VehicleCostData!$N$13:$T$102,MATCH($B38,VehicleCostData!$A$13:$A$102,0),MATCH(U$5,VehicleCostData!$N$12:$T$12,0)),"")</f>
        <v>564.26965287362793</v>
      </c>
      <c r="V38" s="684">
        <f>IFERROR(0.001*INDEX(VehicleCostData!$N$13:$T$102,MATCH($B38,VehicleCostData!$A$13:$A$102,0),MATCH(V$5,VehicleCostData!$N$12:$T$12,0)),"")</f>
        <v>567.74278868475642</v>
      </c>
      <c r="W38" s="685">
        <f>IFERROR(0.001*INDEX(VehicleCostData!$V$13:$AB$102,MATCH($B38,VehicleCostData!$A$13:$A$102,0),MATCH(W$5,VehicleCostData!$V$12:$AB$12,0)),"")</f>
        <v>14.348700951784471</v>
      </c>
      <c r="X38" s="685">
        <f>IFERROR(0.001*INDEX(VehicleCostData!$V$13:$AB$102,MATCH($B38,VehicleCostData!$A$13:$A$102,0),MATCH(X$5,VehicleCostData!$V$12:$AB$12,0)),"")</f>
        <v>14.816137215131684</v>
      </c>
      <c r="Y38" s="685">
        <f>IFERROR(0.001*INDEX(VehicleCostData!$V$13:$AB$102,MATCH($B38,VehicleCostData!$A$13:$A$102,0),MATCH(Y$5,VehicleCostData!$V$12:$AB$12,0)),"")</f>
        <v>15.141505960687496</v>
      </c>
      <c r="Z38" s="685">
        <f>IFERROR(0.001*INDEX(VehicleCostData!$V$13:$AB$102,MATCH($B38,VehicleCostData!$A$13:$A$102,0),MATCH(Z$5,VehicleCostData!$V$12:$AB$12,0)),"")</f>
        <v>15.329055294488422</v>
      </c>
      <c r="AA38" s="686" t="s">
        <v>504</v>
      </c>
      <c r="AB38" s="686" t="s">
        <v>504</v>
      </c>
      <c r="AC38" s="694" t="str">
        <f t="shared" si="0"/>
        <v/>
      </c>
      <c r="AD38" s="689"/>
    </row>
    <row r="39" spans="2:30" x14ac:dyDescent="0.25">
      <c r="B39" s="385" t="str">
        <f>IF(ITEMS_Tech_N!D39="","",ITEMS_Tech_N!D39)</f>
        <v>*</v>
      </c>
      <c r="C39" s="232" t="str">
        <f>IF(ITEMS_Tech_N!E39="","",ITEMS_Tech_N!E39)</f>
        <v>Public Minibus Taxis</v>
      </c>
      <c r="D39" s="219"/>
      <c r="E39" s="219"/>
      <c r="F39" s="377">
        <f>IFERROR(INDEX('EFF-N_ANTC'!$J$6:$N$96,MATCH($B39,'EFF-N_ANTC'!$A$6:$A$96,0),MATCH(F$5,'EFF-N_ANTC'!$J$5:$N$5,0)),"")</f>
        <v>0.23658855771912971</v>
      </c>
      <c r="G39" s="377">
        <f>IFERROR(INDEX('EFF-N_ANTC'!$J$6:$N$96,MATCH($B39,'EFF-N_ANTC'!$A$6:$A$96,0),MATCH(G$5,'EFF-N_ANTC'!$J$5:$N$5,0)),"")</f>
        <v>0.25508715046378805</v>
      </c>
      <c r="H39" s="377">
        <f>IFERROR(INDEX('EFF-N_ANTC'!$J$6:$N$96,MATCH($B39,'EFF-N_ANTC'!$A$6:$A$96,0),MATCH(H$5,'EFF-N_ANTC'!$J$5:$N$5,0)),"")</f>
        <v>0.28205684025891897</v>
      </c>
      <c r="I39" s="377">
        <f>IFERROR(INDEX('EFF-N_ANTC'!$J$6:$N$96,MATCH($B39,'EFF-N_ANTC'!$A$6:$A$96,0),MATCH(I$5,'EFF-N_ANTC'!$J$5:$N$5,0)),"")</f>
        <v>0.31187796402994067</v>
      </c>
      <c r="J39" s="379"/>
      <c r="K39" s="379"/>
      <c r="L39" s="379"/>
      <c r="M39" s="379"/>
      <c r="N39" s="379"/>
      <c r="O39" s="379">
        <f>IFERROR(INDEX('CapUnit-N_ANTC'!$C$6:$C$96,MATCH($B39,'CapUnit-N_ANTC'!$A$6:$A$96,0)),"")</f>
        <v>2.4E-2</v>
      </c>
      <c r="P39" s="684">
        <f>IFERROR(0.001*INDEX(VehicleCostData!$N$13:$T$102,MATCH($B39,VehicleCostData!$A$13:$A$102,0),MATCH(P$5,VehicleCostData!$N$12:$T$12,0)),"")</f>
        <v>531.43336858461009</v>
      </c>
      <c r="Q39" s="684">
        <f>IFERROR(0.001*INDEX(VehicleCostData!$N$13:$T$102,MATCH($B39,VehicleCostData!$A$13:$A$102,0),MATCH(Q$5,VehicleCostData!$N$12:$T$12,0)),"")</f>
        <v>540.08959568363241</v>
      </c>
      <c r="R39" s="684">
        <f>IFERROR(0.001*INDEX(VehicleCostData!$N$13:$T$102,MATCH($B39,VehicleCostData!$A$13:$A$102,0),MATCH(R$5,VehicleCostData!$N$12:$T$12,0)),"")</f>
        <v>548.74582278265507</v>
      </c>
      <c r="S39" s="684">
        <f>IFERROR(0.001*INDEX(VehicleCostData!$N$13:$T$102,MATCH($B39,VehicleCostData!$A$13:$A$102,0),MATCH(S$5,VehicleCostData!$N$12:$T$12,0)),"")</f>
        <v>554.77116992257743</v>
      </c>
      <c r="T39" s="684">
        <f>IFERROR(0.001*INDEX(VehicleCostData!$N$13:$T$102,MATCH($B39,VehicleCostData!$A$13:$A$102,0),MATCH(T$5,VehicleCostData!$N$12:$T$12,0)),"")</f>
        <v>560.7965170624999</v>
      </c>
      <c r="U39" s="684">
        <f>IFERROR(0.001*INDEX(VehicleCostData!$N$13:$T$102,MATCH($B39,VehicleCostData!$A$13:$A$102,0),MATCH(U$5,VehicleCostData!$N$12:$T$12,0)),"")</f>
        <v>564.26965287362793</v>
      </c>
      <c r="V39" s="684">
        <f>IFERROR(0.001*INDEX(VehicleCostData!$N$13:$T$102,MATCH($B39,VehicleCostData!$A$13:$A$102,0),MATCH(V$5,VehicleCostData!$N$12:$T$12,0)),"")</f>
        <v>567.74278868475642</v>
      </c>
      <c r="W39" s="685">
        <f>IFERROR(0.001*INDEX(VehicleCostData!$V$13:$AB$102,MATCH($B39,VehicleCostData!$A$13:$A$102,0),MATCH(W$5,VehicleCostData!$V$12:$AB$12,0)),"")</f>
        <v>14.348700951784471</v>
      </c>
      <c r="X39" s="685">
        <f>IFERROR(0.001*INDEX(VehicleCostData!$V$13:$AB$102,MATCH($B39,VehicleCostData!$A$13:$A$102,0),MATCH(X$5,VehicleCostData!$V$12:$AB$12,0)),"")</f>
        <v>14.816137215131684</v>
      </c>
      <c r="Y39" s="685">
        <f>IFERROR(0.001*INDEX(VehicleCostData!$V$13:$AB$102,MATCH($B39,VehicleCostData!$A$13:$A$102,0),MATCH(Y$5,VehicleCostData!$V$12:$AB$12,0)),"")</f>
        <v>15.141505960687496</v>
      </c>
      <c r="Z39" s="685">
        <f>IFERROR(0.001*INDEX(VehicleCostData!$V$13:$AB$102,MATCH($B39,VehicleCostData!$A$13:$A$102,0),MATCH(Z$5,VehicleCostData!$V$12:$AB$12,0)),"")</f>
        <v>15.329055294488422</v>
      </c>
      <c r="AA39" s="686" t="s">
        <v>504</v>
      </c>
      <c r="AB39" s="686" t="s">
        <v>504</v>
      </c>
      <c r="AC39" s="694" t="str">
        <f t="shared" si="0"/>
        <v/>
      </c>
      <c r="AD39" s="689"/>
    </row>
    <row r="40" spans="2:30" x14ac:dyDescent="0.25">
      <c r="B40" s="385" t="str">
        <f>IF(ITEMS_Tech_N!D40="","",ITEMS_Tech_N!D40)</f>
        <v>TPPUMBTODS-N</v>
      </c>
      <c r="C40" s="232" t="str">
        <f>IF(ITEMS_Tech_N!E40="","",ITEMS_Tech_N!E40)</f>
        <v>Transport Passenger Minibus Oil Diesel-N</v>
      </c>
      <c r="D40" s="219" t="s">
        <v>411</v>
      </c>
      <c r="E40" s="219" t="s">
        <v>279</v>
      </c>
      <c r="F40" s="377">
        <f>IFERROR(INDEX('EFF-N_ANTC'!$J$6:$N$96,MATCH($B40,'EFF-N_ANTC'!$A$6:$A$96,0),MATCH(F$5,'EFF-N_ANTC'!$J$5:$N$5,0)),"")</f>
        <v>0.24052686742503102</v>
      </c>
      <c r="G40" s="377">
        <f>IFERROR(INDEX('EFF-N_ANTC'!$J$6:$N$96,MATCH($B40,'EFF-N_ANTC'!$A$6:$A$96,0),MATCH(G$5,'EFF-N_ANTC'!$J$5:$N$5,0)),"")</f>
        <v>0.25933339216798273</v>
      </c>
      <c r="H40" s="377">
        <f>IFERROR(INDEX('EFF-N_ANTC'!$J$6:$N$96,MATCH($B40,'EFF-N_ANTC'!$A$6:$A$96,0),MATCH(H$5,'EFF-N_ANTC'!$J$5:$N$5,0)),"")</f>
        <v>0.28675202586855569</v>
      </c>
      <c r="I40" s="377">
        <f>IFERROR(INDEX('EFF-N_ANTC'!$J$6:$N$96,MATCH($B40,'EFF-N_ANTC'!$A$6:$A$96,0),MATCH(I$5,'EFF-N_ANTC'!$J$5:$N$5,0)),"")</f>
        <v>0.31706955919682966</v>
      </c>
      <c r="J40" s="652">
        <v>1</v>
      </c>
      <c r="K40" s="652">
        <v>1</v>
      </c>
      <c r="L40" s="652">
        <v>1</v>
      </c>
      <c r="M40" s="652">
        <v>1</v>
      </c>
      <c r="N40" s="652">
        <v>1</v>
      </c>
      <c r="O40" s="379">
        <f>IFERROR(INDEX('CapUnit-N_ANTC'!$C$6:$C$96,MATCH($B40,'CapUnit-N_ANTC'!$A$6:$A$96,0)),"")</f>
        <v>3.4999999999999996E-2</v>
      </c>
      <c r="P40" s="684">
        <f>IFERROR(0.001*INDEX(VehicleCostData!$N$13:$T$102,MATCH($B40,VehicleCostData!$A$13:$A$102,0),MATCH(P$5,VehicleCostData!$N$12:$T$12,0)),"")</f>
        <v>588.42287990580405</v>
      </c>
      <c r="Q40" s="684">
        <f>IFERROR(0.001*INDEX(VehicleCostData!$N$13:$T$102,MATCH($B40,VehicleCostData!$A$13:$A$102,0),MATCH(Q$5,VehicleCostData!$N$12:$T$12,0)),"")</f>
        <v>601.57055503408719</v>
      </c>
      <c r="R40" s="684">
        <f>IFERROR(0.001*INDEX(VehicleCostData!$N$13:$T$102,MATCH($B40,VehicleCostData!$A$13:$A$102,0),MATCH(R$5,VehicleCostData!$N$12:$T$12,0)),"")</f>
        <v>605.81232528126736</v>
      </c>
      <c r="S40" s="684">
        <f>IFERROR(0.001*INDEX(VehicleCostData!$N$13:$T$102,MATCH($B40,VehicleCostData!$A$13:$A$102,0),MATCH(S$5,VehicleCostData!$N$12:$T$12,0)),"")</f>
        <v>609.17151462420907</v>
      </c>
      <c r="T40" s="684">
        <f>IFERROR(0.001*INDEX(VehicleCostData!$N$13:$T$102,MATCH($B40,VehicleCostData!$A$13:$A$102,0),MATCH(T$5,VehicleCostData!$N$12:$T$12,0)),"")</f>
        <v>612.53070396715066</v>
      </c>
      <c r="U40" s="684">
        <f>IFERROR(0.001*INDEX(VehicleCostData!$N$13:$T$102,MATCH($B40,VehicleCostData!$A$13:$A$102,0),MATCH(U$5,VehicleCostData!$N$12:$T$12,0)),"")</f>
        <v>613.92417030883973</v>
      </c>
      <c r="V40" s="684">
        <f>IFERROR(0.001*INDEX(VehicleCostData!$N$13:$T$102,MATCH($B40,VehicleCostData!$A$13:$A$102,0),MATCH(V$5,VehicleCostData!$N$12:$T$12,0)),"")</f>
        <v>615.31763665052904</v>
      </c>
      <c r="W40" s="685">
        <f>IFERROR(0.001*INDEX(VehicleCostData!$V$13:$AB$102,MATCH($B40,VehicleCostData!$A$13:$A$102,0),MATCH(W$5,VehicleCostData!$V$12:$AB$12,0)),"")</f>
        <v>15.88741775745671</v>
      </c>
      <c r="X40" s="685">
        <f>IFERROR(0.001*INDEX(VehicleCostData!$V$13:$AB$102,MATCH($B40,VehicleCostData!$A$13:$A$102,0),MATCH(X$5,VehicleCostData!$V$12:$AB$12,0)),"")</f>
        <v>16.356932782594221</v>
      </c>
      <c r="Y40" s="685">
        <f>IFERROR(0.001*INDEX(VehicleCostData!$V$13:$AB$102,MATCH($B40,VehicleCostData!$A$13:$A$102,0),MATCH(Y$5,VehicleCostData!$V$12:$AB$12,0)),"")</f>
        <v>16.53832900711307</v>
      </c>
      <c r="Z40" s="685">
        <f>IFERROR(0.001*INDEX(VehicleCostData!$V$13:$AB$102,MATCH($B40,VehicleCostData!$A$13:$A$102,0),MATCH(Z$5,VehicleCostData!$V$12:$AB$12,0)),"")</f>
        <v>16.613576189564284</v>
      </c>
      <c r="AA40" s="652">
        <v>20</v>
      </c>
      <c r="AB40" s="652">
        <v>20</v>
      </c>
      <c r="AC40" s="694">
        <f t="shared" si="0"/>
        <v>2018</v>
      </c>
      <c r="AD40" s="688">
        <v>1</v>
      </c>
    </row>
    <row r="41" spans="2:30" x14ac:dyDescent="0.25">
      <c r="B41" s="385" t="str">
        <f>IF(ITEMS_Tech_N!D41="","",ITEMS_Tech_N!D41)</f>
        <v>TPPUMBTOGS-N</v>
      </c>
      <c r="C41" s="232" t="str">
        <f>IF(ITEMS_Tech_N!E41="","",ITEMS_Tech_N!E41)</f>
        <v>Transport Passenger Minibus Oil Gasoline-N</v>
      </c>
      <c r="D41" s="219" t="s">
        <v>413</v>
      </c>
      <c r="E41" s="219" t="s">
        <v>279</v>
      </c>
      <c r="F41" s="377">
        <f>IFERROR(INDEX('EFF-N_ANTC'!$J$6:$N$96,MATCH($B41,'EFF-N_ANTC'!$A$6:$A$96,0),MATCH(F$5,'EFF-N_ANTC'!$J$5:$N$5,0)),"")</f>
        <v>0.2038025244447535</v>
      </c>
      <c r="G41" s="377">
        <f>IFERROR(INDEX('EFF-N_ANTC'!$J$6:$N$96,MATCH($B41,'EFF-N_ANTC'!$A$6:$A$96,0),MATCH(G$5,'EFF-N_ANTC'!$J$5:$N$5,0)),"")</f>
        <v>0.21973761419035504</v>
      </c>
      <c r="H41" s="377">
        <f>IFERROR(INDEX('EFF-N_ANTC'!$J$6:$N$96,MATCH($B41,'EFF-N_ANTC'!$A$6:$A$96,0),MATCH(H$5,'EFF-N_ANTC'!$J$5:$N$5,0)),"")</f>
        <v>0.24296989100344107</v>
      </c>
      <c r="I41" s="377">
        <f>IFERROR(INDEX('EFF-N_ANTC'!$J$6:$N$96,MATCH($B41,'EFF-N_ANTC'!$A$6:$A$96,0),MATCH(I$5,'EFF-N_ANTC'!$J$5:$N$5,0)),"")</f>
        <v>0.26865845500208052</v>
      </c>
      <c r="J41" s="652">
        <v>1</v>
      </c>
      <c r="K41" s="652">
        <v>1</v>
      </c>
      <c r="L41" s="652">
        <v>1</v>
      </c>
      <c r="M41" s="652">
        <v>1</v>
      </c>
      <c r="N41" s="652">
        <v>1</v>
      </c>
      <c r="O41" s="379">
        <f>IFERROR(INDEX('CapUnit-N_ANTC'!$C$6:$C$96,MATCH($B41,'CapUnit-N_ANTC'!$A$6:$A$96,0)),"")</f>
        <v>3.4999999999999996E-2</v>
      </c>
      <c r="P41" s="684">
        <f>IFERROR(0.001*INDEX(VehicleCostData!$N$13:$T$102,MATCH($B41,VehicleCostData!$A$13:$A$102,0),MATCH(P$5,VehicleCostData!$N$12:$T$12,0)),"")</f>
        <v>504.36246849068914</v>
      </c>
      <c r="Q41" s="684">
        <f>IFERROR(0.001*INDEX(VehicleCostData!$N$13:$T$102,MATCH($B41,VehicleCostData!$A$13:$A$102,0),MATCH(Q$5,VehicleCostData!$N$12:$T$12,0)),"")</f>
        <v>515.63190431493183</v>
      </c>
      <c r="R41" s="684">
        <f>IFERROR(0.001*INDEX(VehicleCostData!$N$13:$T$102,MATCH($B41,VehicleCostData!$A$13:$A$102,0),MATCH(R$5,VehicleCostData!$N$12:$T$12,0)),"")</f>
        <v>519.26770738394339</v>
      </c>
      <c r="S41" s="684">
        <f>IFERROR(0.001*INDEX(VehicleCostData!$N$13:$T$102,MATCH($B41,VehicleCostData!$A$13:$A$102,0),MATCH(S$5,VehicleCostData!$N$12:$T$12,0)),"")</f>
        <v>522.14701253503631</v>
      </c>
      <c r="T41" s="684">
        <f>IFERROR(0.001*INDEX(VehicleCostData!$N$13:$T$102,MATCH($B41,VehicleCostData!$A$13:$A$102,0),MATCH(T$5,VehicleCostData!$N$12:$T$12,0)),"")</f>
        <v>525.02631768612912</v>
      </c>
      <c r="U41" s="684">
        <f>IFERROR(0.001*INDEX(VehicleCostData!$N$13:$T$102,MATCH($B41,VehicleCostData!$A$13:$A$102,0),MATCH(U$5,VehicleCostData!$N$12:$T$12,0)),"")</f>
        <v>526.22071740757701</v>
      </c>
      <c r="V41" s="684">
        <f>IFERROR(0.001*INDEX(VehicleCostData!$N$13:$T$102,MATCH($B41,VehicleCostData!$A$13:$A$102,0),MATCH(V$5,VehicleCostData!$N$12:$T$12,0)),"")</f>
        <v>527.41511712902479</v>
      </c>
      <c r="W41" s="685">
        <f>IFERROR(0.001*INDEX(VehicleCostData!$V$13:$AB$102,MATCH($B41,VehicleCostData!$A$13:$A$102,0),MATCH(W$5,VehicleCostData!$V$12:$AB$12,0)),"")</f>
        <v>13.617786649248607</v>
      </c>
      <c r="X41" s="685">
        <f>IFERROR(0.001*INDEX(VehicleCostData!$V$13:$AB$102,MATCH($B41,VehicleCostData!$A$13:$A$102,0),MATCH(X$5,VehicleCostData!$V$12:$AB$12,0)),"")</f>
        <v>14.020228099366472</v>
      </c>
      <c r="Y41" s="685">
        <f>IFERROR(0.001*INDEX(VehicleCostData!$V$13:$AB$102,MATCH($B41,VehicleCostData!$A$13:$A$102,0),MATCH(Y$5,VehicleCostData!$V$12:$AB$12,0)),"")</f>
        <v>14.175710577525486</v>
      </c>
      <c r="Z41" s="685">
        <f>IFERROR(0.001*INDEX(VehicleCostData!$V$13:$AB$102,MATCH($B41,VehicleCostData!$A$13:$A$102,0),MATCH(Z$5,VehicleCostData!$V$12:$AB$12,0)),"")</f>
        <v>14.24020816248367</v>
      </c>
      <c r="AA41" s="652">
        <v>20</v>
      </c>
      <c r="AB41" s="652">
        <v>20</v>
      </c>
      <c r="AC41" s="694">
        <f t="shared" si="0"/>
        <v>2018</v>
      </c>
      <c r="AD41" s="688">
        <v>1</v>
      </c>
    </row>
    <row r="42" spans="2:30" x14ac:dyDescent="0.25">
      <c r="B42" s="385" t="str">
        <f>IF(ITEMS_Tech_N!D42="","",ITEMS_Tech_N!D42)</f>
        <v>*</v>
      </c>
      <c r="C42" s="232" t="str">
        <f>IF(ITEMS_Tech_N!E42="","",ITEMS_Tech_N!E42)</f>
        <v>Transport Passenger Minibus Oil Diesel Hybrid-N</v>
      </c>
      <c r="D42" s="219" t="s">
        <v>411</v>
      </c>
      <c r="E42" s="219" t="s">
        <v>279</v>
      </c>
      <c r="F42" s="377">
        <f>IFERROR(INDEX('EFF-N_ANTC'!$J$6:$N$96,MATCH($B42,'EFF-N_ANTC'!$A$6:$A$96,0),MATCH(F$5,'EFF-N_ANTC'!$J$5:$N$5,0)),"")</f>
        <v>0.23658855771912971</v>
      </c>
      <c r="G42" s="377">
        <f>IFERROR(INDEX('EFF-N_ANTC'!$J$6:$N$96,MATCH($B42,'EFF-N_ANTC'!$A$6:$A$96,0),MATCH(G$5,'EFF-N_ANTC'!$J$5:$N$5,0)),"")</f>
        <v>0.25508715046378805</v>
      </c>
      <c r="H42" s="377">
        <f>IFERROR(INDEX('EFF-N_ANTC'!$J$6:$N$96,MATCH($B42,'EFF-N_ANTC'!$A$6:$A$96,0),MATCH(H$5,'EFF-N_ANTC'!$J$5:$N$5,0)),"")</f>
        <v>0.28205684025891897</v>
      </c>
      <c r="I42" s="377">
        <f>IFERROR(INDEX('EFF-N_ANTC'!$J$6:$N$96,MATCH($B42,'EFF-N_ANTC'!$A$6:$A$96,0),MATCH(I$5,'EFF-N_ANTC'!$J$5:$N$5,0)),"")</f>
        <v>0.31187796402994067</v>
      </c>
      <c r="J42" s="652">
        <v>1</v>
      </c>
      <c r="K42" s="652">
        <v>1</v>
      </c>
      <c r="L42" s="652">
        <v>1</v>
      </c>
      <c r="M42" s="652">
        <v>1</v>
      </c>
      <c r="N42" s="652">
        <v>1</v>
      </c>
      <c r="O42" s="379">
        <f>IFERROR(INDEX('CapUnit-N_ANTC'!$C$6:$C$96,MATCH($B42,'CapUnit-N_ANTC'!$A$6:$A$96,0)),"")</f>
        <v>2.4E-2</v>
      </c>
      <c r="P42" s="684">
        <f>IFERROR(0.001*INDEX(VehicleCostData!$N$13:$T$102,MATCH($B42,VehicleCostData!$A$13:$A$102,0),MATCH(P$5,VehicleCostData!$N$12:$T$12,0)),"")</f>
        <v>531.43336858461009</v>
      </c>
      <c r="Q42" s="684">
        <f>IFERROR(0.001*INDEX(VehicleCostData!$N$13:$T$102,MATCH($B42,VehicleCostData!$A$13:$A$102,0),MATCH(Q$5,VehicleCostData!$N$12:$T$12,0)),"")</f>
        <v>540.08959568363241</v>
      </c>
      <c r="R42" s="684">
        <f>IFERROR(0.001*INDEX(VehicleCostData!$N$13:$T$102,MATCH($B42,VehicleCostData!$A$13:$A$102,0),MATCH(R$5,VehicleCostData!$N$12:$T$12,0)),"")</f>
        <v>548.74582278265507</v>
      </c>
      <c r="S42" s="684">
        <f>IFERROR(0.001*INDEX(VehicleCostData!$N$13:$T$102,MATCH($B42,VehicleCostData!$A$13:$A$102,0),MATCH(S$5,VehicleCostData!$N$12:$T$12,0)),"")</f>
        <v>554.77116992257743</v>
      </c>
      <c r="T42" s="684">
        <f>IFERROR(0.001*INDEX(VehicleCostData!$N$13:$T$102,MATCH($B42,VehicleCostData!$A$13:$A$102,0),MATCH(T$5,VehicleCostData!$N$12:$T$12,0)),"")</f>
        <v>560.7965170624999</v>
      </c>
      <c r="U42" s="684">
        <f>IFERROR(0.001*INDEX(VehicleCostData!$N$13:$T$102,MATCH($B42,VehicleCostData!$A$13:$A$102,0),MATCH(U$5,VehicleCostData!$N$12:$T$12,0)),"")</f>
        <v>564.26965287362793</v>
      </c>
      <c r="V42" s="684">
        <f>IFERROR(0.001*INDEX(VehicleCostData!$N$13:$T$102,MATCH($B42,VehicleCostData!$A$13:$A$102,0),MATCH(V$5,VehicleCostData!$N$12:$T$12,0)),"")</f>
        <v>567.74278868475642</v>
      </c>
      <c r="W42" s="685">
        <f>IFERROR(0.001*INDEX(VehicleCostData!$V$13:$AB$102,MATCH($B42,VehicleCostData!$A$13:$A$102,0),MATCH(W$5,VehicleCostData!$V$12:$AB$12,0)),"")</f>
        <v>14.348700951784471</v>
      </c>
      <c r="X42" s="685">
        <f>IFERROR(0.001*INDEX(VehicleCostData!$V$13:$AB$102,MATCH($B42,VehicleCostData!$A$13:$A$102,0),MATCH(X$5,VehicleCostData!$V$12:$AB$12,0)),"")</f>
        <v>14.816137215131684</v>
      </c>
      <c r="Y42" s="685">
        <f>IFERROR(0.001*INDEX(VehicleCostData!$V$13:$AB$102,MATCH($B42,VehicleCostData!$A$13:$A$102,0),MATCH(Y$5,VehicleCostData!$V$12:$AB$12,0)),"")</f>
        <v>15.141505960687496</v>
      </c>
      <c r="Z42" s="685">
        <f>IFERROR(0.001*INDEX(VehicleCostData!$V$13:$AB$102,MATCH($B42,VehicleCostData!$A$13:$A$102,0),MATCH(Z$5,VehicleCostData!$V$12:$AB$12,0)),"")</f>
        <v>15.329055294488422</v>
      </c>
      <c r="AA42" s="652">
        <v>20</v>
      </c>
      <c r="AB42" s="652">
        <v>20</v>
      </c>
      <c r="AC42" s="694">
        <f t="shared" si="0"/>
        <v>2080</v>
      </c>
      <c r="AD42" s="688">
        <v>3</v>
      </c>
    </row>
    <row r="43" spans="2:30" x14ac:dyDescent="0.25">
      <c r="B43" s="385" t="str">
        <f>IF(ITEMS_Tech_N!D43="","",ITEMS_Tech_N!D43)</f>
        <v>*</v>
      </c>
      <c r="C43" s="232" t="str">
        <f>IF(ITEMS_Tech_N!E43="","",ITEMS_Tech_N!E43)</f>
        <v>Transport Passenger Minibus Gas-N</v>
      </c>
      <c r="D43" s="219" t="s">
        <v>563</v>
      </c>
      <c r="E43" s="219" t="s">
        <v>279</v>
      </c>
      <c r="F43" s="377">
        <f>IFERROR(INDEX('EFF-N_ANTC'!$J$6:$N$96,MATCH($B43,'EFF-N_ANTC'!$A$6:$A$96,0),MATCH(F$5,'EFF-N_ANTC'!$J$5:$N$5,0)),"")</f>
        <v>0.23658855771912971</v>
      </c>
      <c r="G43" s="377">
        <f>IFERROR(INDEX('EFF-N_ANTC'!$J$6:$N$96,MATCH($B43,'EFF-N_ANTC'!$A$6:$A$96,0),MATCH(G$5,'EFF-N_ANTC'!$J$5:$N$5,0)),"")</f>
        <v>0.25508715046378805</v>
      </c>
      <c r="H43" s="377">
        <f>IFERROR(INDEX('EFF-N_ANTC'!$J$6:$N$96,MATCH($B43,'EFF-N_ANTC'!$A$6:$A$96,0),MATCH(H$5,'EFF-N_ANTC'!$J$5:$N$5,0)),"")</f>
        <v>0.28205684025891897</v>
      </c>
      <c r="I43" s="377">
        <f>IFERROR(INDEX('EFF-N_ANTC'!$J$6:$N$96,MATCH($B43,'EFF-N_ANTC'!$A$6:$A$96,0),MATCH(I$5,'EFF-N_ANTC'!$J$5:$N$5,0)),"")</f>
        <v>0.31187796402994067</v>
      </c>
      <c r="J43" s="652">
        <v>1</v>
      </c>
      <c r="K43" s="652">
        <v>1</v>
      </c>
      <c r="L43" s="652">
        <v>1</v>
      </c>
      <c r="M43" s="652">
        <v>1</v>
      </c>
      <c r="N43" s="652">
        <v>1</v>
      </c>
      <c r="O43" s="379">
        <f>IFERROR(INDEX('CapUnit-N_ANTC'!$C$6:$C$96,MATCH($B43,'CapUnit-N_ANTC'!$A$6:$A$96,0)),"")</f>
        <v>2.4E-2</v>
      </c>
      <c r="P43" s="684">
        <f>IFERROR(0.001*INDEX(VehicleCostData!$N$13:$T$102,MATCH($B43,VehicleCostData!$A$13:$A$102,0),MATCH(P$5,VehicleCostData!$N$12:$T$12,0)),"")</f>
        <v>531.43336858461009</v>
      </c>
      <c r="Q43" s="684">
        <f>IFERROR(0.001*INDEX(VehicleCostData!$N$13:$T$102,MATCH($B43,VehicleCostData!$A$13:$A$102,0),MATCH(Q$5,VehicleCostData!$N$12:$T$12,0)),"")</f>
        <v>540.08959568363241</v>
      </c>
      <c r="R43" s="684">
        <f>IFERROR(0.001*INDEX(VehicleCostData!$N$13:$T$102,MATCH($B43,VehicleCostData!$A$13:$A$102,0),MATCH(R$5,VehicleCostData!$N$12:$T$12,0)),"")</f>
        <v>548.74582278265507</v>
      </c>
      <c r="S43" s="684">
        <f>IFERROR(0.001*INDEX(VehicleCostData!$N$13:$T$102,MATCH($B43,VehicleCostData!$A$13:$A$102,0),MATCH(S$5,VehicleCostData!$N$12:$T$12,0)),"")</f>
        <v>554.77116992257743</v>
      </c>
      <c r="T43" s="684">
        <f>IFERROR(0.001*INDEX(VehicleCostData!$N$13:$T$102,MATCH($B43,VehicleCostData!$A$13:$A$102,0),MATCH(T$5,VehicleCostData!$N$12:$T$12,0)),"")</f>
        <v>560.7965170624999</v>
      </c>
      <c r="U43" s="684">
        <f>IFERROR(0.001*INDEX(VehicleCostData!$N$13:$T$102,MATCH($B43,VehicleCostData!$A$13:$A$102,0),MATCH(U$5,VehicleCostData!$N$12:$T$12,0)),"")</f>
        <v>564.26965287362793</v>
      </c>
      <c r="V43" s="684">
        <f>IFERROR(0.001*INDEX(VehicleCostData!$N$13:$T$102,MATCH($B43,VehicleCostData!$A$13:$A$102,0),MATCH(V$5,VehicleCostData!$N$12:$T$12,0)),"")</f>
        <v>567.74278868475642</v>
      </c>
      <c r="W43" s="685">
        <f>IFERROR(0.001*INDEX(VehicleCostData!$V$13:$AB$102,MATCH($B43,VehicleCostData!$A$13:$A$102,0),MATCH(W$5,VehicleCostData!$V$12:$AB$12,0)),"")</f>
        <v>14.348700951784471</v>
      </c>
      <c r="X43" s="685">
        <f>IFERROR(0.001*INDEX(VehicleCostData!$V$13:$AB$102,MATCH($B43,VehicleCostData!$A$13:$A$102,0),MATCH(X$5,VehicleCostData!$V$12:$AB$12,0)),"")</f>
        <v>14.816137215131684</v>
      </c>
      <c r="Y43" s="685">
        <f>IFERROR(0.001*INDEX(VehicleCostData!$V$13:$AB$102,MATCH($B43,VehicleCostData!$A$13:$A$102,0),MATCH(Y$5,VehicleCostData!$V$12:$AB$12,0)),"")</f>
        <v>15.141505960687496</v>
      </c>
      <c r="Z43" s="685">
        <f>IFERROR(0.001*INDEX(VehicleCostData!$V$13:$AB$102,MATCH($B43,VehicleCostData!$A$13:$A$102,0),MATCH(Z$5,VehicleCostData!$V$12:$AB$12,0)),"")</f>
        <v>15.329055294488422</v>
      </c>
      <c r="AA43" s="652">
        <v>20</v>
      </c>
      <c r="AB43" s="652">
        <v>20</v>
      </c>
      <c r="AC43" s="694">
        <f t="shared" si="0"/>
        <v>2080</v>
      </c>
      <c r="AD43" s="688">
        <v>3</v>
      </c>
    </row>
    <row r="44" spans="2:30" x14ac:dyDescent="0.25">
      <c r="B44" s="385" t="str">
        <f>IF(ITEMS_Tech_N!D44="","",ITEMS_Tech_N!D44)</f>
        <v>TPPUMBTHGNF-N</v>
      </c>
      <c r="C44" s="232" t="str">
        <f>IF(ITEMS_Tech_N!E44="","",ITEMS_Tech_N!E44)</f>
        <v>Transport Passenger Minibus Hydrogen Fuel Cell-N</v>
      </c>
      <c r="D44" s="219" t="s">
        <v>804</v>
      </c>
      <c r="E44" s="219" t="s">
        <v>279</v>
      </c>
      <c r="F44" s="377">
        <f>IFERROR(INDEX('EFF-N_ANTC'!$J$6:$N$96,MATCH($B44,'EFF-N_ANTC'!$A$6:$A$96,0),MATCH(F$5,'EFF-N_ANTC'!$J$5:$N$5,0)),"")</f>
        <v>0.79894658709294752</v>
      </c>
      <c r="G44" s="377">
        <f>IFERROR(INDEX('EFF-N_ANTC'!$J$6:$N$96,MATCH($B44,'EFF-N_ANTC'!$A$6:$A$96,0),MATCH(G$5,'EFF-N_ANTC'!$J$5:$N$5,0)),"")</f>
        <v>0.86141532050021885</v>
      </c>
      <c r="H44" s="377">
        <f>IFERROR(INDEX('EFF-N_ANTC'!$J$6:$N$96,MATCH($B44,'EFF-N_ANTC'!$A$6:$A$96,0),MATCH(H$5,'EFF-N_ANTC'!$J$5:$N$5,0)),"")</f>
        <v>0.95249048417045723</v>
      </c>
      <c r="I44" s="377">
        <f>IFERROR(INDEX('EFF-N_ANTC'!$J$6:$N$96,MATCH($B44,'EFF-N_ANTC'!$A$6:$A$96,0),MATCH(I$5,'EFF-N_ANTC'!$J$5:$N$5,0)),"")</f>
        <v>1.0531947840310574</v>
      </c>
      <c r="J44" s="652">
        <v>1</v>
      </c>
      <c r="K44" s="652">
        <v>1</v>
      </c>
      <c r="L44" s="652">
        <v>1</v>
      </c>
      <c r="M44" s="652">
        <v>1</v>
      </c>
      <c r="N44" s="652">
        <v>1</v>
      </c>
      <c r="O44" s="379">
        <f>IFERROR(INDEX('CapUnit-N_ANTC'!$C$6:$C$96,MATCH($B44,'CapUnit-N_ANTC'!$A$6:$A$96,0)),"")</f>
        <v>3.4999999999999996E-2</v>
      </c>
      <c r="P44" s="684">
        <f>IFERROR(0.001*INDEX(VehicleCostData!$N$13:$T$102,MATCH($B44,VehicleCostData!$A$13:$A$102,0),MATCH(P$5,VehicleCostData!$N$12:$T$12,0)),"")</f>
        <v>2505.6594244970897</v>
      </c>
      <c r="Q44" s="684">
        <f>IFERROR(0.001*INDEX(VehicleCostData!$N$13:$T$102,MATCH($B44,VehicleCostData!$A$13:$A$102,0),MATCH(Q$5,VehicleCostData!$N$12:$T$12,0)),"")</f>
        <v>2189.7625893148847</v>
      </c>
      <c r="R44" s="684">
        <f>IFERROR(0.001*INDEX(VehicleCostData!$N$13:$T$102,MATCH($B44,VehicleCostData!$A$13:$A$102,0),MATCH(R$5,VehicleCostData!$N$12:$T$12,0)),"")</f>
        <v>2037.7873987259509</v>
      </c>
      <c r="S44" s="684">
        <f>IFERROR(0.001*INDEX(VehicleCostData!$N$13:$T$102,MATCH($B44,VehicleCostData!$A$13:$A$102,0),MATCH(S$5,VehicleCostData!$N$12:$T$12,0)),"")</f>
        <v>1922.6940420707267</v>
      </c>
      <c r="T44" s="684">
        <f>IFERROR(0.001*INDEX(VehicleCostData!$N$13:$T$102,MATCH($B44,VehicleCostData!$A$13:$A$102,0),MATCH(T$5,VehicleCostData!$N$12:$T$12,0)),"")</f>
        <v>1807.6006854154973</v>
      </c>
      <c r="U44" s="684">
        <f>IFERROR(0.001*INDEX(VehicleCostData!$N$13:$T$102,MATCH($B44,VehicleCostData!$A$13:$A$102,0),MATCH(U$5,VehicleCostData!$N$12:$T$12,0)),"")</f>
        <v>1785.9200069427677</v>
      </c>
      <c r="V44" s="684">
        <f>IFERROR(0.001*INDEX(VehicleCostData!$N$13:$T$102,MATCH($B44,VehicleCostData!$A$13:$A$102,0),MATCH(V$5,VehicleCostData!$N$12:$T$12,0)),"")</f>
        <v>1764.2393284700374</v>
      </c>
      <c r="W44" s="685">
        <f>IFERROR(0.001*INDEX(VehicleCostData!$V$13:$AB$102,MATCH($B44,VehicleCostData!$A$13:$A$102,0),MATCH(W$5,VehicleCostData!$V$12:$AB$12,0)),"")</f>
        <v>67.652804461421425</v>
      </c>
      <c r="X44" s="685">
        <f>IFERROR(0.001*INDEX(VehicleCostData!$V$13:$AB$102,MATCH($B44,VehicleCostData!$A$13:$A$102,0),MATCH(X$5,VehicleCostData!$V$12:$AB$12,0)),"")</f>
        <v>55.02025976560067</v>
      </c>
      <c r="Y44" s="685">
        <f>IFERROR(0.001*INDEX(VehicleCostData!$V$13:$AB$102,MATCH($B44,VehicleCostData!$A$13:$A$102,0),MATCH(Y$5,VehicleCostData!$V$12:$AB$12,0)),"")</f>
        <v>48.805218506218431</v>
      </c>
      <c r="Z44" s="685">
        <f>IFERROR(0.001*INDEX(VehicleCostData!$V$13:$AB$102,MATCH($B44,VehicleCostData!$A$13:$A$102,0),MATCH(Z$5,VehicleCostData!$V$12:$AB$12,0)),"")</f>
        <v>47.634461868691005</v>
      </c>
      <c r="AA44" s="652">
        <v>20</v>
      </c>
      <c r="AB44" s="652">
        <v>20</v>
      </c>
      <c r="AC44" s="694">
        <f t="shared" si="0"/>
        <v>2080</v>
      </c>
      <c r="AD44" s="688">
        <v>3</v>
      </c>
    </row>
    <row r="45" spans="2:30" x14ac:dyDescent="0.25">
      <c r="B45" s="385" t="str">
        <f>IF(ITEMS_Tech_N!D45="","",ITEMS_Tech_N!D45)</f>
        <v>*</v>
      </c>
      <c r="C45" s="232" t="str">
        <f>IF(ITEMS_Tech_N!E45="","",ITEMS_Tech_N!E45)</f>
        <v>Transport Passenger Minibus Oil Blended Gasoline-Ethanol-E85-N</v>
      </c>
      <c r="D45" s="219" t="s">
        <v>805</v>
      </c>
      <c r="E45" s="219" t="s">
        <v>279</v>
      </c>
      <c r="F45" s="377">
        <f>IFERROR(INDEX('EFF-N_ANTC'!$J$6:$N$96,MATCH($B45,'EFF-N_ANTC'!$A$6:$A$96,0),MATCH(F$5,'EFF-N_ANTC'!$J$5:$N$5,0)),"")</f>
        <v>0.23658855771912971</v>
      </c>
      <c r="G45" s="377">
        <f>IFERROR(INDEX('EFF-N_ANTC'!$J$6:$N$96,MATCH($B45,'EFF-N_ANTC'!$A$6:$A$96,0),MATCH(G$5,'EFF-N_ANTC'!$J$5:$N$5,0)),"")</f>
        <v>0.25508715046378805</v>
      </c>
      <c r="H45" s="377">
        <f>IFERROR(INDEX('EFF-N_ANTC'!$J$6:$N$96,MATCH($B45,'EFF-N_ANTC'!$A$6:$A$96,0),MATCH(H$5,'EFF-N_ANTC'!$J$5:$N$5,0)),"")</f>
        <v>0.28205684025891897</v>
      </c>
      <c r="I45" s="377">
        <f>IFERROR(INDEX('EFF-N_ANTC'!$J$6:$N$96,MATCH($B45,'EFF-N_ANTC'!$A$6:$A$96,0),MATCH(I$5,'EFF-N_ANTC'!$J$5:$N$5,0)),"")</f>
        <v>0.31187796402994067</v>
      </c>
      <c r="J45" s="652">
        <v>1</v>
      </c>
      <c r="K45" s="652">
        <v>1</v>
      </c>
      <c r="L45" s="652">
        <v>1</v>
      </c>
      <c r="M45" s="652">
        <v>1</v>
      </c>
      <c r="N45" s="652">
        <v>1</v>
      </c>
      <c r="O45" s="379">
        <f>IFERROR(INDEX('CapUnit-N_ANTC'!$C$6:$C$96,MATCH($B45,'CapUnit-N_ANTC'!$A$6:$A$96,0)),"")</f>
        <v>2.4E-2</v>
      </c>
      <c r="P45" s="684">
        <f>IFERROR(0.001*INDEX(VehicleCostData!$N$13:$T$102,MATCH($B45,VehicleCostData!$A$13:$A$102,0),MATCH(P$5,VehicleCostData!$N$12:$T$12,0)),"")</f>
        <v>531.43336858461009</v>
      </c>
      <c r="Q45" s="684">
        <f>IFERROR(0.001*INDEX(VehicleCostData!$N$13:$T$102,MATCH($B45,VehicleCostData!$A$13:$A$102,0),MATCH(Q$5,VehicleCostData!$N$12:$T$12,0)),"")</f>
        <v>540.08959568363241</v>
      </c>
      <c r="R45" s="684">
        <f>IFERROR(0.001*INDEX(VehicleCostData!$N$13:$T$102,MATCH($B45,VehicleCostData!$A$13:$A$102,0),MATCH(R$5,VehicleCostData!$N$12:$T$12,0)),"")</f>
        <v>548.74582278265507</v>
      </c>
      <c r="S45" s="684">
        <f>IFERROR(0.001*INDEX(VehicleCostData!$N$13:$T$102,MATCH($B45,VehicleCostData!$A$13:$A$102,0),MATCH(S$5,VehicleCostData!$N$12:$T$12,0)),"")</f>
        <v>554.77116992257743</v>
      </c>
      <c r="T45" s="684">
        <f>IFERROR(0.001*INDEX(VehicleCostData!$N$13:$T$102,MATCH($B45,VehicleCostData!$A$13:$A$102,0),MATCH(T$5,VehicleCostData!$N$12:$T$12,0)),"")</f>
        <v>560.7965170624999</v>
      </c>
      <c r="U45" s="684">
        <f>IFERROR(0.001*INDEX(VehicleCostData!$N$13:$T$102,MATCH($B45,VehicleCostData!$A$13:$A$102,0),MATCH(U$5,VehicleCostData!$N$12:$T$12,0)),"")</f>
        <v>564.26965287362793</v>
      </c>
      <c r="V45" s="684">
        <f>IFERROR(0.001*INDEX(VehicleCostData!$N$13:$T$102,MATCH($B45,VehicleCostData!$A$13:$A$102,0),MATCH(V$5,VehicleCostData!$N$12:$T$12,0)),"")</f>
        <v>567.74278868475642</v>
      </c>
      <c r="W45" s="685">
        <f>IFERROR(0.001*INDEX(VehicleCostData!$V$13:$AB$102,MATCH($B45,VehicleCostData!$A$13:$A$102,0),MATCH(W$5,VehicleCostData!$V$12:$AB$12,0)),"")</f>
        <v>14.348700951784471</v>
      </c>
      <c r="X45" s="685">
        <f>IFERROR(0.001*INDEX(VehicleCostData!$V$13:$AB$102,MATCH($B45,VehicleCostData!$A$13:$A$102,0),MATCH(X$5,VehicleCostData!$V$12:$AB$12,0)),"")</f>
        <v>14.816137215131684</v>
      </c>
      <c r="Y45" s="685">
        <f>IFERROR(0.001*INDEX(VehicleCostData!$V$13:$AB$102,MATCH($B45,VehicleCostData!$A$13:$A$102,0),MATCH(Y$5,VehicleCostData!$V$12:$AB$12,0)),"")</f>
        <v>15.141505960687496</v>
      </c>
      <c r="Z45" s="685">
        <f>IFERROR(0.001*INDEX(VehicleCostData!$V$13:$AB$102,MATCH($B45,VehicleCostData!$A$13:$A$102,0),MATCH(Z$5,VehicleCostData!$V$12:$AB$12,0)),"")</f>
        <v>15.329055294488422</v>
      </c>
      <c r="AA45" s="652">
        <v>20</v>
      </c>
      <c r="AB45" s="652">
        <v>20</v>
      </c>
      <c r="AC45" s="694">
        <f t="shared" si="0"/>
        <v>2080</v>
      </c>
      <c r="AD45" s="688">
        <v>3</v>
      </c>
    </row>
    <row r="46" spans="2:30" x14ac:dyDescent="0.25">
      <c r="B46" s="385" t="str">
        <f>IF(ITEMS_Tech_N!D46="","",ITEMS_Tech_N!D46)</f>
        <v>TPPUMBTELC-N</v>
      </c>
      <c r="C46" s="232" t="str">
        <f>IF(ITEMS_Tech_N!E46="","",ITEMS_Tech_N!E46)</f>
        <v>Transport Passenger Minibus Electricity-N</v>
      </c>
      <c r="D46" s="219" t="s">
        <v>412</v>
      </c>
      <c r="E46" s="219" t="s">
        <v>279</v>
      </c>
      <c r="F46" s="377">
        <f>IFERROR(INDEX('EFF-N_ANTC'!$J$6:$N$96,MATCH($B46,'EFF-N_ANTC'!$A$6:$A$96,0),MATCH(F$5,'EFF-N_ANTC'!$J$5:$N$5,0)),"")</f>
        <v>1.5209691826429439</v>
      </c>
      <c r="G46" s="377">
        <f>IFERROR(INDEX('EFF-N_ANTC'!$J$6:$N$96,MATCH($B46,'EFF-N_ANTC'!$A$6:$A$96,0),MATCH(G$5,'EFF-N_ANTC'!$J$5:$N$5,0)),"")</f>
        <v>1.6398920492352056</v>
      </c>
      <c r="H46" s="377">
        <f>IFERROR(INDEX('EFF-N_ANTC'!$J$6:$N$96,MATCH($B46,'EFF-N_ANTC'!$A$6:$A$96,0),MATCH(H$5,'EFF-N_ANTC'!$J$5:$N$5,0)),"")</f>
        <v>1.8132734986142236</v>
      </c>
      <c r="I46" s="377">
        <f>IFERROR(INDEX('EFF-N_ANTC'!$J$6:$N$96,MATCH($B46,'EFF-N_ANTC'!$A$6:$A$96,0),MATCH(I$5,'EFF-N_ANTC'!$J$5:$N$5,0)),"")</f>
        <v>2.0049861100979594</v>
      </c>
      <c r="J46" s="652">
        <v>1</v>
      </c>
      <c r="K46" s="652">
        <v>1</v>
      </c>
      <c r="L46" s="652">
        <v>1</v>
      </c>
      <c r="M46" s="652">
        <v>1</v>
      </c>
      <c r="N46" s="652">
        <v>1</v>
      </c>
      <c r="O46" s="379">
        <f>IFERROR(INDEX('CapUnit-N_ANTC'!$C$6:$C$96,MATCH($B46,'CapUnit-N_ANTC'!$A$6:$A$96,0)),"")</f>
        <v>3.4999999999999996E-2</v>
      </c>
      <c r="P46" s="684">
        <f>IFERROR(0.001*INDEX(VehicleCostData!$N$13:$T$102,MATCH($B46,VehicleCostData!$A$13:$A$102,0),MATCH(P$5,VehicleCostData!$N$12:$T$12,0)),"")</f>
        <v>1301.0787540891445</v>
      </c>
      <c r="Q46" s="684">
        <f>IFERROR(0.001*INDEX(VehicleCostData!$N$13:$T$102,MATCH($B46,VehicleCostData!$A$13:$A$102,0),MATCH(Q$5,VehicleCostData!$N$12:$T$12,0)),"")</f>
        <v>1021.1474690929876</v>
      </c>
      <c r="R46" s="684">
        <f>IFERROR(0.001*INDEX(VehicleCostData!$N$13:$T$102,MATCH($B46,VehicleCostData!$A$13:$A$102,0),MATCH(R$5,VehicleCostData!$N$12:$T$12,0)),"")</f>
        <v>826.33348576621268</v>
      </c>
      <c r="S46" s="684">
        <f>IFERROR(0.001*INDEX(VehicleCostData!$N$13:$T$102,MATCH($B46,VehicleCostData!$A$13:$A$102,0),MATCH(S$5,VehicleCostData!$N$12:$T$12,0)),"")</f>
        <v>780.21966755171923</v>
      </c>
      <c r="T46" s="684">
        <f>IFERROR(0.001*INDEX(VehicleCostData!$N$13:$T$102,MATCH($B46,VehicleCostData!$A$13:$A$102,0),MATCH(T$5,VehicleCostData!$N$12:$T$12,0)),"")</f>
        <v>734.10584933722657</v>
      </c>
      <c r="U46" s="684">
        <f>IFERROR(0.001*INDEX(VehicleCostData!$N$13:$T$102,MATCH($B46,VehicleCostData!$A$13:$A$102,0),MATCH(U$5,VehicleCostData!$N$12:$T$12,0)),"")</f>
        <v>720.41387328564258</v>
      </c>
      <c r="V46" s="684">
        <f>IFERROR(0.001*INDEX(VehicleCostData!$N$13:$T$102,MATCH($B46,VehicleCostData!$A$13:$A$102,0),MATCH(V$5,VehicleCostData!$N$12:$T$12,0)),"")</f>
        <v>706.72189723405859</v>
      </c>
      <c r="W46" s="685">
        <f>IFERROR(0.001*INDEX(VehicleCostData!$V$13:$AB$102,MATCH($B46,VehicleCostData!$A$13:$A$102,0),MATCH(W$5,VehicleCostData!$V$12:$AB$12,0)),"")</f>
        <v>24.720496327693745</v>
      </c>
      <c r="X46" s="685">
        <f>IFERROR(0.001*INDEX(VehicleCostData!$V$13:$AB$102,MATCH($B46,VehicleCostData!$A$13:$A$102,0),MATCH(X$5,VehicleCostData!$V$12:$AB$12,0)),"")</f>
        <v>15.700336229558042</v>
      </c>
      <c r="Y46" s="685">
        <f>IFERROR(0.001*INDEX(VehicleCostData!$V$13:$AB$102,MATCH($B46,VehicleCostData!$A$13:$A$102,0),MATCH(Y$5,VehicleCostData!$V$12:$AB$12,0)),"")</f>
        <v>13.948011137407306</v>
      </c>
      <c r="Z46" s="685">
        <f>IFERROR(0.001*INDEX(VehicleCostData!$V$13:$AB$102,MATCH($B46,VehicleCostData!$A$13:$A$102,0),MATCH(Z$5,VehicleCostData!$V$12:$AB$12,0)),"")</f>
        <v>13.427716047447113</v>
      </c>
      <c r="AA46" s="652">
        <v>20</v>
      </c>
      <c r="AB46" s="652">
        <v>20</v>
      </c>
      <c r="AC46" s="694">
        <f t="shared" si="0"/>
        <v>2025</v>
      </c>
      <c r="AD46" s="688">
        <v>2</v>
      </c>
    </row>
    <row r="47" spans="2:30" x14ac:dyDescent="0.25">
      <c r="B47" s="385" t="str">
        <f>IF(ITEMS_Tech_N!D47="","",ITEMS_Tech_N!D47)</f>
        <v>*</v>
      </c>
      <c r="C47" s="232" t="str">
        <f>IF(ITEMS_Tech_N!E47="","",ITEMS_Tech_N!E47)</f>
        <v/>
      </c>
      <c r="D47" s="219"/>
      <c r="E47" s="219"/>
      <c r="F47" s="377">
        <f>IFERROR(INDEX('EFF-N_ANTC'!$J$6:$N$96,MATCH($B47,'EFF-N_ANTC'!$A$6:$A$96,0),MATCH(F$5,'EFF-N_ANTC'!$J$5:$N$5,0)),"")</f>
        <v>0.23658855771912971</v>
      </c>
      <c r="G47" s="377">
        <f>IFERROR(INDEX('EFF-N_ANTC'!$J$6:$N$96,MATCH($B47,'EFF-N_ANTC'!$A$6:$A$96,0),MATCH(G$5,'EFF-N_ANTC'!$J$5:$N$5,0)),"")</f>
        <v>0.25508715046378805</v>
      </c>
      <c r="H47" s="377">
        <f>IFERROR(INDEX('EFF-N_ANTC'!$J$6:$N$96,MATCH($B47,'EFF-N_ANTC'!$A$6:$A$96,0),MATCH(H$5,'EFF-N_ANTC'!$J$5:$N$5,0)),"")</f>
        <v>0.28205684025891897</v>
      </c>
      <c r="I47" s="377">
        <f>IFERROR(INDEX('EFF-N_ANTC'!$J$6:$N$96,MATCH($B47,'EFF-N_ANTC'!$A$6:$A$96,0),MATCH(I$5,'EFF-N_ANTC'!$J$5:$N$5,0)),"")</f>
        <v>0.31187796402994067</v>
      </c>
      <c r="J47" s="379"/>
      <c r="K47" s="379"/>
      <c r="L47" s="379"/>
      <c r="M47" s="379"/>
      <c r="N47" s="379"/>
      <c r="O47" s="379">
        <f>IFERROR(INDEX('CapUnit-N_ANTC'!$C$6:$C$96,MATCH($B47,'CapUnit-N_ANTC'!$A$6:$A$96,0)),"")</f>
        <v>2.4E-2</v>
      </c>
      <c r="P47" s="684">
        <f>IFERROR(0.001*INDEX(VehicleCostData!$N$13:$T$102,MATCH($B47,VehicleCostData!$A$13:$A$102,0),MATCH(P$5,VehicleCostData!$N$12:$T$12,0)),"")</f>
        <v>531.43336858461009</v>
      </c>
      <c r="Q47" s="684">
        <f>IFERROR(0.001*INDEX(VehicleCostData!$N$13:$T$102,MATCH($B47,VehicleCostData!$A$13:$A$102,0),MATCH(Q$5,VehicleCostData!$N$12:$T$12,0)),"")</f>
        <v>540.08959568363241</v>
      </c>
      <c r="R47" s="684">
        <f>IFERROR(0.001*INDEX(VehicleCostData!$N$13:$T$102,MATCH($B47,VehicleCostData!$A$13:$A$102,0),MATCH(R$5,VehicleCostData!$N$12:$T$12,0)),"")</f>
        <v>548.74582278265507</v>
      </c>
      <c r="S47" s="684">
        <f>IFERROR(0.001*INDEX(VehicleCostData!$N$13:$T$102,MATCH($B47,VehicleCostData!$A$13:$A$102,0),MATCH(S$5,VehicleCostData!$N$12:$T$12,0)),"")</f>
        <v>554.77116992257743</v>
      </c>
      <c r="T47" s="684">
        <f>IFERROR(0.001*INDEX(VehicleCostData!$N$13:$T$102,MATCH($B47,VehicleCostData!$A$13:$A$102,0),MATCH(T$5,VehicleCostData!$N$12:$T$12,0)),"")</f>
        <v>560.7965170624999</v>
      </c>
      <c r="U47" s="684">
        <f>IFERROR(0.001*INDEX(VehicleCostData!$N$13:$T$102,MATCH($B47,VehicleCostData!$A$13:$A$102,0),MATCH(U$5,VehicleCostData!$N$12:$T$12,0)),"")</f>
        <v>564.26965287362793</v>
      </c>
      <c r="V47" s="684">
        <f>IFERROR(0.001*INDEX(VehicleCostData!$N$13:$T$102,MATCH($B47,VehicleCostData!$A$13:$A$102,0),MATCH(V$5,VehicleCostData!$N$12:$T$12,0)),"")</f>
        <v>567.74278868475642</v>
      </c>
      <c r="W47" s="685">
        <f>IFERROR(0.001*INDEX(VehicleCostData!$V$13:$AB$102,MATCH($B47,VehicleCostData!$A$13:$A$102,0),MATCH(W$5,VehicleCostData!$V$12:$AB$12,0)),"")</f>
        <v>14.348700951784471</v>
      </c>
      <c r="X47" s="685">
        <f>IFERROR(0.001*INDEX(VehicleCostData!$V$13:$AB$102,MATCH($B47,VehicleCostData!$A$13:$A$102,0),MATCH(X$5,VehicleCostData!$V$12:$AB$12,0)),"")</f>
        <v>14.816137215131684</v>
      </c>
      <c r="Y47" s="685">
        <f>IFERROR(0.001*INDEX(VehicleCostData!$V$13:$AB$102,MATCH($B47,VehicleCostData!$A$13:$A$102,0),MATCH(Y$5,VehicleCostData!$V$12:$AB$12,0)),"")</f>
        <v>15.141505960687496</v>
      </c>
      <c r="Z47" s="685">
        <f>IFERROR(0.001*INDEX(VehicleCostData!$V$13:$AB$102,MATCH($B47,VehicleCostData!$A$13:$A$102,0),MATCH(Z$5,VehicleCostData!$V$12:$AB$12,0)),"")</f>
        <v>15.329055294488422</v>
      </c>
      <c r="AA47" s="686" t="s">
        <v>504</v>
      </c>
      <c r="AB47" s="686" t="s">
        <v>504</v>
      </c>
      <c r="AC47" s="694" t="str">
        <f t="shared" si="0"/>
        <v/>
      </c>
      <c r="AD47" s="689"/>
    </row>
    <row r="48" spans="2:30" x14ac:dyDescent="0.25">
      <c r="B48" s="385" t="str">
        <f>IF(ITEMS_Tech_N!D48="","",ITEMS_Tech_N!D48)</f>
        <v>*</v>
      </c>
      <c r="C48" s="232" t="str">
        <f>IF(ITEMS_Tech_N!E48="","",ITEMS_Tech_N!E48)</f>
        <v>Public BRT</v>
      </c>
      <c r="D48" s="219"/>
      <c r="E48" s="219"/>
      <c r="F48" s="377">
        <f>IFERROR(INDEX('EFF-N_ANTC'!$J$6:$N$96,MATCH($B48,'EFF-N_ANTC'!$A$6:$A$96,0),MATCH(F$5,'EFF-N_ANTC'!$J$5:$N$5,0)),"")</f>
        <v>0.23658855771912971</v>
      </c>
      <c r="G48" s="377">
        <f>IFERROR(INDEX('EFF-N_ANTC'!$J$6:$N$96,MATCH($B48,'EFF-N_ANTC'!$A$6:$A$96,0),MATCH(G$5,'EFF-N_ANTC'!$J$5:$N$5,0)),"")</f>
        <v>0.25508715046378805</v>
      </c>
      <c r="H48" s="377">
        <f>IFERROR(INDEX('EFF-N_ANTC'!$J$6:$N$96,MATCH($B48,'EFF-N_ANTC'!$A$6:$A$96,0),MATCH(H$5,'EFF-N_ANTC'!$J$5:$N$5,0)),"")</f>
        <v>0.28205684025891897</v>
      </c>
      <c r="I48" s="377">
        <f>IFERROR(INDEX('EFF-N_ANTC'!$J$6:$N$96,MATCH($B48,'EFF-N_ANTC'!$A$6:$A$96,0),MATCH(I$5,'EFF-N_ANTC'!$J$5:$N$5,0)),"")</f>
        <v>0.31187796402994067</v>
      </c>
      <c r="J48" s="379"/>
      <c r="K48" s="379"/>
      <c r="L48" s="379"/>
      <c r="M48" s="379"/>
      <c r="N48" s="379"/>
      <c r="O48" s="379">
        <f>IFERROR(INDEX('CapUnit-N_ANTC'!$C$6:$C$96,MATCH($B48,'CapUnit-N_ANTC'!$A$6:$A$96,0)),"")</f>
        <v>2.4E-2</v>
      </c>
      <c r="P48" s="684">
        <f>IFERROR(0.001*INDEX(VehicleCostData!$N$13:$T$102,MATCH($B48,VehicleCostData!$A$13:$A$102,0),MATCH(P$5,VehicleCostData!$N$12:$T$12,0)),"")</f>
        <v>531.43336858461009</v>
      </c>
      <c r="Q48" s="684">
        <f>IFERROR(0.001*INDEX(VehicleCostData!$N$13:$T$102,MATCH($B48,VehicleCostData!$A$13:$A$102,0),MATCH(Q$5,VehicleCostData!$N$12:$T$12,0)),"")</f>
        <v>540.08959568363241</v>
      </c>
      <c r="R48" s="684">
        <f>IFERROR(0.001*INDEX(VehicleCostData!$N$13:$T$102,MATCH($B48,VehicleCostData!$A$13:$A$102,0),MATCH(R$5,VehicleCostData!$N$12:$T$12,0)),"")</f>
        <v>548.74582278265507</v>
      </c>
      <c r="S48" s="684">
        <f>IFERROR(0.001*INDEX(VehicleCostData!$N$13:$T$102,MATCH($B48,VehicleCostData!$A$13:$A$102,0),MATCH(S$5,VehicleCostData!$N$12:$T$12,0)),"")</f>
        <v>554.77116992257743</v>
      </c>
      <c r="T48" s="684">
        <f>IFERROR(0.001*INDEX(VehicleCostData!$N$13:$T$102,MATCH($B48,VehicleCostData!$A$13:$A$102,0),MATCH(T$5,VehicleCostData!$N$12:$T$12,0)),"")</f>
        <v>560.7965170624999</v>
      </c>
      <c r="U48" s="684">
        <f>IFERROR(0.001*INDEX(VehicleCostData!$N$13:$T$102,MATCH($B48,VehicleCostData!$A$13:$A$102,0),MATCH(U$5,VehicleCostData!$N$12:$T$12,0)),"")</f>
        <v>564.26965287362793</v>
      </c>
      <c r="V48" s="684">
        <f>IFERROR(0.001*INDEX(VehicleCostData!$N$13:$T$102,MATCH($B48,VehicleCostData!$A$13:$A$102,0),MATCH(V$5,VehicleCostData!$N$12:$T$12,0)),"")</f>
        <v>567.74278868475642</v>
      </c>
      <c r="W48" s="685">
        <f>IFERROR(0.001*INDEX(VehicleCostData!$V$13:$AB$102,MATCH($B48,VehicleCostData!$A$13:$A$102,0),MATCH(W$5,VehicleCostData!$V$12:$AB$12,0)),"")</f>
        <v>14.348700951784471</v>
      </c>
      <c r="X48" s="685">
        <f>IFERROR(0.001*INDEX(VehicleCostData!$V$13:$AB$102,MATCH($B48,VehicleCostData!$A$13:$A$102,0),MATCH(X$5,VehicleCostData!$V$12:$AB$12,0)),"")</f>
        <v>14.816137215131684</v>
      </c>
      <c r="Y48" s="685">
        <f>IFERROR(0.001*INDEX(VehicleCostData!$V$13:$AB$102,MATCH($B48,VehicleCostData!$A$13:$A$102,0),MATCH(Y$5,VehicleCostData!$V$12:$AB$12,0)),"")</f>
        <v>15.141505960687496</v>
      </c>
      <c r="Z48" s="685">
        <f>IFERROR(0.001*INDEX(VehicleCostData!$V$13:$AB$102,MATCH($B48,VehicleCostData!$A$13:$A$102,0),MATCH(Z$5,VehicleCostData!$V$12:$AB$12,0)),"")</f>
        <v>15.329055294488422</v>
      </c>
      <c r="AA48" s="686" t="s">
        <v>504</v>
      </c>
      <c r="AB48" s="686" t="s">
        <v>504</v>
      </c>
      <c r="AC48" s="694" t="str">
        <f t="shared" si="0"/>
        <v/>
      </c>
      <c r="AD48" s="689"/>
    </row>
    <row r="49" spans="2:30" x14ac:dyDescent="0.25">
      <c r="B49" s="385" t="str">
        <f>IF(ITEMS_Tech_N!D49="","",ITEMS_Tech_N!D49)</f>
        <v>TPPUBRTODS-N</v>
      </c>
      <c r="C49" s="232" t="str">
        <f>IF(ITEMS_Tech_N!E49="","",ITEMS_Tech_N!E49)</f>
        <v>Transport Passenger BRT Oil Diesel-N</v>
      </c>
      <c r="D49" s="219" t="s">
        <v>411</v>
      </c>
      <c r="E49" s="219" t="s">
        <v>396</v>
      </c>
      <c r="F49" s="377">
        <f>IFERROR(INDEX('EFF-N_ANTC'!$J$6:$N$96,MATCH($B49,'EFF-N_ANTC'!$A$6:$A$96,0),MATCH(F$5,'EFF-N_ANTC'!$J$5:$N$5,0)),"")</f>
        <v>7.5804655378559349E-2</v>
      </c>
      <c r="G49" s="377">
        <f>IFERROR(INDEX('EFF-N_ANTC'!$J$6:$N$96,MATCH($B49,'EFF-N_ANTC'!$A$6:$A$96,0),MATCH(G$5,'EFF-N_ANTC'!$J$5:$N$5,0)),"")</f>
        <v>8.1731735967392749E-2</v>
      </c>
      <c r="H49" s="377">
        <f>IFERROR(INDEX('EFF-N_ANTC'!$J$6:$N$96,MATCH($B49,'EFF-N_ANTC'!$A$6:$A$96,0),MATCH(H$5,'EFF-N_ANTC'!$J$5:$N$5,0)),"")</f>
        <v>9.0373016257091418E-2</v>
      </c>
      <c r="I49" s="377">
        <f>IFERROR(INDEX('EFF-N_ANTC'!$J$6:$N$96,MATCH($B49,'EFF-N_ANTC'!$A$6:$A$96,0),MATCH(I$5,'EFF-N_ANTC'!$J$5:$N$5,0)),"")</f>
        <v>9.9927916258415031E-2</v>
      </c>
      <c r="J49" s="652">
        <v>1</v>
      </c>
      <c r="K49" s="652">
        <v>1</v>
      </c>
      <c r="L49" s="652">
        <v>1</v>
      </c>
      <c r="M49" s="652">
        <v>1</v>
      </c>
      <c r="N49" s="652">
        <v>1</v>
      </c>
      <c r="O49" s="379">
        <f>IFERROR(INDEX('CapUnit-N_ANTC'!$C$6:$C$96,MATCH($B49,'CapUnit-N_ANTC'!$A$6:$A$96,0)),"")</f>
        <v>0.06</v>
      </c>
      <c r="P49" s="684">
        <f>IFERROR(0.001*INDEX(VehicleCostData!$N$13:$T$102,MATCH($B49,VehicleCostData!$A$13:$A$102,0),MATCH(P$5,VehicleCostData!$N$12:$T$12,0)),"")</f>
        <v>1999.9686663604944</v>
      </c>
      <c r="Q49" s="684">
        <f>IFERROR(0.001*INDEX(VehicleCostData!$N$13:$T$102,MATCH($B49,VehicleCostData!$A$13:$A$102,0),MATCH(Q$5,VehicleCostData!$N$12:$T$12,0)),"")</f>
        <v>2044.6558109124919</v>
      </c>
      <c r="R49" s="684">
        <f>IFERROR(0.001*INDEX(VehicleCostData!$N$13:$T$102,MATCH($B49,VehicleCostData!$A$13:$A$102,0),MATCH(R$5,VehicleCostData!$N$12:$T$12,0)),"")</f>
        <v>2059.0730062221282</v>
      </c>
      <c r="S49" s="684">
        <f>IFERROR(0.001*INDEX(VehicleCostData!$N$13:$T$102,MATCH($B49,VehicleCostData!$A$13:$A$102,0),MATCH(S$5,VehicleCostData!$N$12:$T$12,0)),"")</f>
        <v>2070.490430084591</v>
      </c>
      <c r="T49" s="684">
        <f>IFERROR(0.001*INDEX(VehicleCostData!$N$13:$T$102,MATCH($B49,VehicleCostData!$A$13:$A$102,0),MATCH(T$5,VehicleCostData!$N$12:$T$12,0)),"")</f>
        <v>2081.9078539470534</v>
      </c>
      <c r="U49" s="684">
        <f>IFERROR(0.001*INDEX(VehicleCostData!$N$13:$T$102,MATCH($B49,VehicleCostData!$A$13:$A$102,0),MATCH(U$5,VehicleCostData!$N$12:$T$12,0)),"")</f>
        <v>2086.6440549279741</v>
      </c>
      <c r="V49" s="684">
        <f>IFERROR(0.001*INDEX(VehicleCostData!$N$13:$T$102,MATCH($B49,VehicleCostData!$A$13:$A$102,0),MATCH(V$5,VehicleCostData!$N$12:$T$12,0)),"")</f>
        <v>2091.3802559088954</v>
      </c>
      <c r="W49" s="685">
        <f>IFERROR(0.001*INDEX(VehicleCostData!$V$13:$AB$102,MATCH($B49,VehicleCostData!$A$13:$A$102,0),MATCH(W$5,VehicleCostData!$V$12:$AB$12,0)),"")</f>
        <v>53.999153991733344</v>
      </c>
      <c r="X49" s="685">
        <f>IFERROR(0.001*INDEX(VehicleCostData!$V$13:$AB$102,MATCH($B49,VehicleCostData!$A$13:$A$102,0),MATCH(X$5,VehicleCostData!$V$12:$AB$12,0)),"")</f>
        <v>55.594971167997457</v>
      </c>
      <c r="Y49" s="685">
        <f>IFERROR(0.001*INDEX(VehicleCostData!$V$13:$AB$102,MATCH($B49,VehicleCostData!$A$13:$A$102,0),MATCH(Y$5,VehicleCostData!$V$12:$AB$12,0)),"")</f>
        <v>56.211512056570434</v>
      </c>
      <c r="Z49" s="685">
        <f>IFERROR(0.001*INDEX(VehicleCostData!$V$13:$AB$102,MATCH($B49,VehicleCostData!$A$13:$A$102,0),MATCH(Z$5,VehicleCostData!$V$12:$AB$12,0)),"")</f>
        <v>56.467266909540172</v>
      </c>
      <c r="AA49" s="652">
        <v>20</v>
      </c>
      <c r="AB49" s="652">
        <v>20</v>
      </c>
      <c r="AC49" s="724">
        <v>2017</v>
      </c>
      <c r="AD49" s="688">
        <v>3</v>
      </c>
    </row>
    <row r="50" spans="2:30" x14ac:dyDescent="0.25">
      <c r="B50" s="385" t="str">
        <f>IF(ITEMS_Tech_N!D50="","",ITEMS_Tech_N!D50)</f>
        <v>*</v>
      </c>
      <c r="C50" s="232" t="str">
        <f>IF(ITEMS_Tech_N!E50="","",ITEMS_Tech_N!E50)</f>
        <v>Transport Passenger BRT Gas-N</v>
      </c>
      <c r="D50" s="219" t="s">
        <v>563</v>
      </c>
      <c r="E50" s="219" t="s">
        <v>396</v>
      </c>
      <c r="F50" s="377">
        <f>IFERROR(INDEX('EFF-N_ANTC'!$J$6:$N$96,MATCH($B50,'EFF-N_ANTC'!$A$6:$A$96,0),MATCH(F$5,'EFF-N_ANTC'!$J$5:$N$5,0)),"")</f>
        <v>0.23658855771912971</v>
      </c>
      <c r="G50" s="377">
        <f>IFERROR(INDEX('EFF-N_ANTC'!$J$6:$N$96,MATCH($B50,'EFF-N_ANTC'!$A$6:$A$96,0),MATCH(G$5,'EFF-N_ANTC'!$J$5:$N$5,0)),"")</f>
        <v>0.25508715046378805</v>
      </c>
      <c r="H50" s="377">
        <f>IFERROR(INDEX('EFF-N_ANTC'!$J$6:$N$96,MATCH($B50,'EFF-N_ANTC'!$A$6:$A$96,0),MATCH(H$5,'EFF-N_ANTC'!$J$5:$N$5,0)),"")</f>
        <v>0.28205684025891897</v>
      </c>
      <c r="I50" s="377">
        <f>IFERROR(INDEX('EFF-N_ANTC'!$J$6:$N$96,MATCH($B50,'EFF-N_ANTC'!$A$6:$A$96,0),MATCH(I$5,'EFF-N_ANTC'!$J$5:$N$5,0)),"")</f>
        <v>0.31187796402994067</v>
      </c>
      <c r="J50" s="652">
        <v>1</v>
      </c>
      <c r="K50" s="652">
        <v>1</v>
      </c>
      <c r="L50" s="652">
        <v>1</v>
      </c>
      <c r="M50" s="652">
        <v>1</v>
      </c>
      <c r="N50" s="652">
        <v>1</v>
      </c>
      <c r="O50" s="379">
        <f>IFERROR(INDEX('CapUnit-N_ANTC'!$C$6:$C$96,MATCH($B50,'CapUnit-N_ANTC'!$A$6:$A$96,0)),"")</f>
        <v>2.4E-2</v>
      </c>
      <c r="P50" s="684">
        <f>IFERROR(0.001*INDEX(VehicleCostData!$N$13:$T$102,MATCH($B50,VehicleCostData!$A$13:$A$102,0),MATCH(P$5,VehicleCostData!$N$12:$T$12,0)),"")</f>
        <v>531.43336858461009</v>
      </c>
      <c r="Q50" s="684">
        <f>IFERROR(0.001*INDEX(VehicleCostData!$N$13:$T$102,MATCH($B50,VehicleCostData!$A$13:$A$102,0),MATCH(Q$5,VehicleCostData!$N$12:$T$12,0)),"")</f>
        <v>540.08959568363241</v>
      </c>
      <c r="R50" s="684">
        <f>IFERROR(0.001*INDEX(VehicleCostData!$N$13:$T$102,MATCH($B50,VehicleCostData!$A$13:$A$102,0),MATCH(R$5,VehicleCostData!$N$12:$T$12,0)),"")</f>
        <v>548.74582278265507</v>
      </c>
      <c r="S50" s="684">
        <f>IFERROR(0.001*INDEX(VehicleCostData!$N$13:$T$102,MATCH($B50,VehicleCostData!$A$13:$A$102,0),MATCH(S$5,VehicleCostData!$N$12:$T$12,0)),"")</f>
        <v>554.77116992257743</v>
      </c>
      <c r="T50" s="684">
        <f>IFERROR(0.001*INDEX(VehicleCostData!$N$13:$T$102,MATCH($B50,VehicleCostData!$A$13:$A$102,0),MATCH(T$5,VehicleCostData!$N$12:$T$12,0)),"")</f>
        <v>560.7965170624999</v>
      </c>
      <c r="U50" s="684">
        <f>IFERROR(0.001*INDEX(VehicleCostData!$N$13:$T$102,MATCH($B50,VehicleCostData!$A$13:$A$102,0),MATCH(U$5,VehicleCostData!$N$12:$T$12,0)),"")</f>
        <v>564.26965287362793</v>
      </c>
      <c r="V50" s="684">
        <f>IFERROR(0.001*INDEX(VehicleCostData!$N$13:$T$102,MATCH($B50,VehicleCostData!$A$13:$A$102,0),MATCH(V$5,VehicleCostData!$N$12:$T$12,0)),"")</f>
        <v>567.74278868475642</v>
      </c>
      <c r="W50" s="685">
        <f>IFERROR(0.001*INDEX(VehicleCostData!$V$13:$AB$102,MATCH($B50,VehicleCostData!$A$13:$A$102,0),MATCH(W$5,VehicleCostData!$V$12:$AB$12,0)),"")</f>
        <v>14.348700951784471</v>
      </c>
      <c r="X50" s="685">
        <f>IFERROR(0.001*INDEX(VehicleCostData!$V$13:$AB$102,MATCH($B50,VehicleCostData!$A$13:$A$102,0),MATCH(X$5,VehicleCostData!$V$12:$AB$12,0)),"")</f>
        <v>14.816137215131684</v>
      </c>
      <c r="Y50" s="685">
        <f>IFERROR(0.001*INDEX(VehicleCostData!$V$13:$AB$102,MATCH($B50,VehicleCostData!$A$13:$A$102,0),MATCH(Y$5,VehicleCostData!$V$12:$AB$12,0)),"")</f>
        <v>15.141505960687496</v>
      </c>
      <c r="Z50" s="685">
        <f>IFERROR(0.001*INDEX(VehicleCostData!$V$13:$AB$102,MATCH($B50,VehicleCostData!$A$13:$A$102,0),MATCH(Z$5,VehicleCostData!$V$12:$AB$12,0)),"")</f>
        <v>15.329055294488422</v>
      </c>
      <c r="AA50" s="652">
        <v>20</v>
      </c>
      <c r="AB50" s="652">
        <v>20</v>
      </c>
      <c r="AC50" s="694">
        <f t="shared" si="0"/>
        <v>2080</v>
      </c>
      <c r="AD50" s="688">
        <v>3</v>
      </c>
    </row>
    <row r="51" spans="2:30" x14ac:dyDescent="0.25">
      <c r="B51" s="385" t="str">
        <f>IF(ITEMS_Tech_N!D51="","",ITEMS_Tech_N!D51)</f>
        <v>TPPUBRTELC-N</v>
      </c>
      <c r="C51" s="232" t="str">
        <f>IF(ITEMS_Tech_N!E51="","",ITEMS_Tech_N!E51)</f>
        <v>Transport Passenger BRT Electricity-N</v>
      </c>
      <c r="D51" s="219" t="s">
        <v>412</v>
      </c>
      <c r="E51" s="219" t="s">
        <v>396</v>
      </c>
      <c r="F51" s="377">
        <f>IFERROR(INDEX('EFF-N_ANTC'!$J$6:$N$96,MATCH($B51,'EFF-N_ANTC'!$A$6:$A$96,0),MATCH(F$5,'EFF-N_ANTC'!$J$5:$N$5,0)),"")</f>
        <v>0.24086682626128814</v>
      </c>
      <c r="G51" s="377">
        <f>IFERROR(INDEX('EFF-N_ANTC'!$J$6:$N$96,MATCH($B51,'EFF-N_ANTC'!$A$6:$A$96,0),MATCH(G$5,'EFF-N_ANTC'!$J$5:$N$5,0)),"")</f>
        <v>0.25969993200258779</v>
      </c>
      <c r="H51" s="377">
        <f>IFERROR(INDEX('EFF-N_ANTC'!$J$6:$N$96,MATCH($B51,'EFF-N_ANTC'!$A$6:$A$96,0),MATCH(H$5,'EFF-N_ANTC'!$J$5:$N$5,0)),"")</f>
        <v>0.28715731899049368</v>
      </c>
      <c r="I51" s="377">
        <f>IFERROR(INDEX('EFF-N_ANTC'!$J$6:$N$96,MATCH($B51,'EFF-N_ANTC'!$A$6:$A$96,0),MATCH(I$5,'EFF-N_ANTC'!$J$5:$N$5,0)),"")</f>
        <v>0.31751770288868025</v>
      </c>
      <c r="J51" s="652">
        <v>1</v>
      </c>
      <c r="K51" s="652">
        <v>1</v>
      </c>
      <c r="L51" s="652">
        <v>1</v>
      </c>
      <c r="M51" s="652">
        <v>1</v>
      </c>
      <c r="N51" s="652">
        <v>1</v>
      </c>
      <c r="O51" s="379">
        <f>IFERROR(INDEX('CapUnit-N_ANTC'!$C$6:$C$96,MATCH($B51,'CapUnit-N_ANTC'!$A$6:$A$96,0)),"")</f>
        <v>0.06</v>
      </c>
      <c r="P51" s="684">
        <f>IFERROR(0.001*INDEX(VehicleCostData!$N$13:$T$102,MATCH($B51,VehicleCostData!$A$13:$A$102,0),MATCH(P$5,VehicleCostData!$N$12:$T$12,0)),"")</f>
        <v>4683.8835147209202</v>
      </c>
      <c r="Q51" s="684">
        <f>IFERROR(0.001*INDEX(VehicleCostData!$N$13:$T$102,MATCH($B51,VehicleCostData!$A$13:$A$102,0),MATCH(Q$5,VehicleCostData!$N$12:$T$12,0)),"")</f>
        <v>3676.1308887347554</v>
      </c>
      <c r="R51" s="684">
        <f>IFERROR(0.001*INDEX(VehicleCostData!$N$13:$T$102,MATCH($B51,VehicleCostData!$A$13:$A$102,0),MATCH(R$5,VehicleCostData!$N$12:$T$12,0)),"")</f>
        <v>2974.8005487583659</v>
      </c>
      <c r="S51" s="684">
        <f>IFERROR(0.001*INDEX(VehicleCostData!$N$13:$T$102,MATCH($B51,VehicleCostData!$A$13:$A$102,0),MATCH(S$5,VehicleCostData!$N$12:$T$12,0)),"")</f>
        <v>2808.7908031861894</v>
      </c>
      <c r="T51" s="684">
        <f>IFERROR(0.001*INDEX(VehicleCostData!$N$13:$T$102,MATCH($B51,VehicleCostData!$A$13:$A$102,0),MATCH(T$5,VehicleCostData!$N$12:$T$12,0)),"")</f>
        <v>2642.7810576140159</v>
      </c>
      <c r="U51" s="684">
        <f>IFERROR(0.001*INDEX(VehicleCostData!$N$13:$T$102,MATCH($B51,VehicleCostData!$A$13:$A$102,0),MATCH(U$5,VehicleCostData!$N$12:$T$12,0)),"")</f>
        <v>2593.4899438283137</v>
      </c>
      <c r="V51" s="684">
        <f>IFERROR(0.001*INDEX(VehicleCostData!$N$13:$T$102,MATCH($B51,VehicleCostData!$A$13:$A$102,0),MATCH(V$5,VehicleCostData!$N$12:$T$12,0)),"")</f>
        <v>2544.198830042611</v>
      </c>
      <c r="W51" s="685">
        <f>IFERROR(0.001*INDEX(VehicleCostData!$V$13:$AB$102,MATCH($B51,VehicleCostData!$A$13:$A$102,0),MATCH(W$5,VehicleCostData!$V$12:$AB$12,0)),"")</f>
        <v>88.993786779697487</v>
      </c>
      <c r="X51" s="685">
        <f>IFERROR(0.001*INDEX(VehicleCostData!$V$13:$AB$102,MATCH($B51,VehicleCostData!$A$13:$A$102,0),MATCH(X$5,VehicleCostData!$V$12:$AB$12,0)),"")</f>
        <v>56.521210426408942</v>
      </c>
      <c r="Y51" s="685">
        <f>IFERROR(0.001*INDEX(VehicleCostData!$V$13:$AB$102,MATCH($B51,VehicleCostData!$A$13:$A$102,0),MATCH(Y$5,VehicleCostData!$V$12:$AB$12,0)),"")</f>
        <v>50.212840094666305</v>
      </c>
      <c r="Z51" s="685">
        <f>IFERROR(0.001*INDEX(VehicleCostData!$V$13:$AB$102,MATCH($B51,VehicleCostData!$A$13:$A$102,0),MATCH(Z$5,VehicleCostData!$V$12:$AB$12,0)),"")</f>
        <v>48.339777770809604</v>
      </c>
      <c r="AA51" s="652">
        <v>20</v>
      </c>
      <c r="AB51" s="652">
        <v>20</v>
      </c>
      <c r="AC51" s="724">
        <v>2017</v>
      </c>
      <c r="AD51" s="688">
        <v>3</v>
      </c>
    </row>
    <row r="52" spans="2:30" x14ac:dyDescent="0.25">
      <c r="B52" s="385" t="str">
        <f>IF(ITEMS_Tech_N!D52="","",ITEMS_Tech_N!D52)</f>
        <v>TPPUBRTHGNF-N</v>
      </c>
      <c r="C52" s="232" t="str">
        <f>IF(ITEMS_Tech_N!E52="","",ITEMS_Tech_N!E52)</f>
        <v>Transport Passenger BRT Hydrogen-N</v>
      </c>
      <c r="D52" s="219" t="s">
        <v>804</v>
      </c>
      <c r="E52" s="219" t="s">
        <v>396</v>
      </c>
      <c r="F52" s="377">
        <f>IFERROR(INDEX('EFF-N_ANTC'!$J$6:$N$96,MATCH($B52,'EFF-N_ANTC'!$A$6:$A$96,0),MATCH(F$5,'EFF-N_ANTC'!$J$5:$N$5,0)),"")</f>
        <v>0.16136266593571041</v>
      </c>
      <c r="G52" s="377">
        <f>IFERROR(INDEX('EFF-N_ANTC'!$J$6:$N$96,MATCH($B52,'EFF-N_ANTC'!$A$6:$A$96,0),MATCH(G$5,'EFF-N_ANTC'!$J$5:$N$5,0)),"")</f>
        <v>0.17397943096489973</v>
      </c>
      <c r="H52" s="377">
        <f>IFERROR(INDEX('EFF-N_ANTC'!$J$6:$N$96,MATCH($B52,'EFF-N_ANTC'!$A$6:$A$96,0),MATCH(H$5,'EFF-N_ANTC'!$J$5:$N$5,0)),"")</f>
        <v>0.19237381608122434</v>
      </c>
      <c r="I52" s="377">
        <f>IFERROR(INDEX('EFF-N_ANTC'!$J$6:$N$96,MATCH($B52,'EFF-N_ANTC'!$A$6:$A$96,0),MATCH(I$5,'EFF-N_ANTC'!$J$5:$N$5,0)),"")</f>
        <v>0.21271299088867007</v>
      </c>
      <c r="J52" s="652">
        <v>1</v>
      </c>
      <c r="K52" s="652">
        <v>1</v>
      </c>
      <c r="L52" s="652">
        <v>1</v>
      </c>
      <c r="M52" s="652">
        <v>1</v>
      </c>
      <c r="N52" s="652">
        <v>1</v>
      </c>
      <c r="O52" s="379">
        <f>IFERROR(INDEX('CapUnit-N_ANTC'!$C$6:$C$96,MATCH($B52,'CapUnit-N_ANTC'!$A$6:$A$96,0)),"")</f>
        <v>0.06</v>
      </c>
      <c r="P52" s="684">
        <f>IFERROR(0.001*INDEX(VehicleCostData!$N$13:$T$102,MATCH($B52,VehicleCostData!$A$13:$A$102,0),MATCH(P$5,VehicleCostData!$N$12:$T$12,0)),"")</f>
        <v>8025.0763705178751</v>
      </c>
      <c r="Q52" s="684">
        <f>IFERROR(0.001*INDEX(VehicleCostData!$N$13:$T$102,MATCH($B52,VehicleCostData!$A$13:$A$102,0),MATCH(Q$5,VehicleCostData!$N$12:$T$12,0)),"")</f>
        <v>7013.3282443530788</v>
      </c>
      <c r="R52" s="684">
        <f>IFERROR(0.001*INDEX(VehicleCostData!$N$13:$T$102,MATCH($B52,VehicleCostData!$A$13:$A$102,0),MATCH(R$5,VehicleCostData!$N$12:$T$12,0)),"")</f>
        <v>6526.5851143903974</v>
      </c>
      <c r="S52" s="684">
        <f>IFERROR(0.001*INDEX(VehicleCostData!$N$13:$T$102,MATCH($B52,VehicleCostData!$A$13:$A$102,0),MATCH(S$5,VehicleCostData!$N$12:$T$12,0)),"")</f>
        <v>6157.9663915634483</v>
      </c>
      <c r="T52" s="684">
        <f>IFERROR(0.001*INDEX(VehicleCostData!$N$13:$T$102,MATCH($B52,VehicleCostData!$A$13:$A$102,0),MATCH(T$5,VehicleCostData!$N$12:$T$12,0)),"")</f>
        <v>5789.3476687364819</v>
      </c>
      <c r="U52" s="684">
        <f>IFERROR(0.001*INDEX(VehicleCostData!$N$13:$T$102,MATCH($B52,VehicleCostData!$A$13:$A$102,0),MATCH(U$5,VehicleCostData!$N$12:$T$12,0)),"")</f>
        <v>5719.9092211935895</v>
      </c>
      <c r="V52" s="684">
        <f>IFERROR(0.001*INDEX(VehicleCostData!$N$13:$T$102,MATCH($B52,VehicleCostData!$A$13:$A$102,0),MATCH(V$5,VehicleCostData!$N$12:$T$12,0)),"")</f>
        <v>5650.4707736506925</v>
      </c>
      <c r="W52" s="685">
        <f>IFERROR(0.001*INDEX(VehicleCostData!$V$13:$AB$102,MATCH($B52,VehicleCostData!$A$13:$A$102,0),MATCH(W$5,VehicleCostData!$V$12:$AB$12,0)),"")</f>
        <v>216.67706200398263</v>
      </c>
      <c r="X52" s="685">
        <f>IFERROR(0.001*INDEX(VehicleCostData!$V$13:$AB$102,MATCH($B52,VehicleCostData!$A$13:$A$102,0),MATCH(X$5,VehicleCostData!$V$12:$AB$12,0)),"")</f>
        <v>176.21779808854075</v>
      </c>
      <c r="Y52" s="685">
        <f>IFERROR(0.001*INDEX(VehicleCostData!$V$13:$AB$102,MATCH($B52,VehicleCostData!$A$13:$A$102,0),MATCH(Y$5,VehicleCostData!$V$12:$AB$12,0)),"")</f>
        <v>156.31238705588501</v>
      </c>
      <c r="Z52" s="685">
        <f>IFERROR(0.001*INDEX(VehicleCostData!$V$13:$AB$102,MATCH($B52,VehicleCostData!$A$13:$A$102,0),MATCH(Z$5,VehicleCostData!$V$12:$AB$12,0)),"")</f>
        <v>152.56271088856869</v>
      </c>
      <c r="AA52" s="652">
        <v>20</v>
      </c>
      <c r="AB52" s="652">
        <v>20</v>
      </c>
      <c r="AC52" s="694">
        <f t="shared" si="0"/>
        <v>2025</v>
      </c>
      <c r="AD52" s="688">
        <v>2</v>
      </c>
    </row>
    <row r="53" spans="2:30" x14ac:dyDescent="0.25">
      <c r="B53" s="385" t="str">
        <f>IF(ITEMS_Tech_N!D53="","",ITEMS_Tech_N!D53)</f>
        <v>*</v>
      </c>
      <c r="C53" s="232" t="str">
        <f>IF(ITEMS_Tech_N!E53="","",ITEMS_Tech_N!E53)</f>
        <v>Transport Passenger BRT Oil Blended Gasoline-Ethanol-E85-N</v>
      </c>
      <c r="D53" s="219" t="s">
        <v>805</v>
      </c>
      <c r="E53" s="219" t="s">
        <v>396</v>
      </c>
      <c r="F53" s="377">
        <f>IFERROR(INDEX('EFF-N_ANTC'!$J$6:$N$96,MATCH($B53,'EFF-N_ANTC'!$A$6:$A$96,0),MATCH(F$5,'EFF-N_ANTC'!$J$5:$N$5,0)),"")</f>
        <v>0.23658855771912971</v>
      </c>
      <c r="G53" s="377">
        <f>IFERROR(INDEX('EFF-N_ANTC'!$J$6:$N$96,MATCH($B53,'EFF-N_ANTC'!$A$6:$A$96,0),MATCH(G$5,'EFF-N_ANTC'!$J$5:$N$5,0)),"")</f>
        <v>0.25508715046378805</v>
      </c>
      <c r="H53" s="377">
        <f>IFERROR(INDEX('EFF-N_ANTC'!$J$6:$N$96,MATCH($B53,'EFF-N_ANTC'!$A$6:$A$96,0),MATCH(H$5,'EFF-N_ANTC'!$J$5:$N$5,0)),"")</f>
        <v>0.28205684025891897</v>
      </c>
      <c r="I53" s="377">
        <f>IFERROR(INDEX('EFF-N_ANTC'!$J$6:$N$96,MATCH($B53,'EFF-N_ANTC'!$A$6:$A$96,0),MATCH(I$5,'EFF-N_ANTC'!$J$5:$N$5,0)),"")</f>
        <v>0.31187796402994067</v>
      </c>
      <c r="J53" s="652">
        <v>1</v>
      </c>
      <c r="K53" s="652">
        <v>1</v>
      </c>
      <c r="L53" s="652">
        <v>1</v>
      </c>
      <c r="M53" s="652">
        <v>1</v>
      </c>
      <c r="N53" s="652">
        <v>1</v>
      </c>
      <c r="O53" s="379">
        <f>IFERROR(INDEX('CapUnit-N_ANTC'!$C$6:$C$96,MATCH($B53,'CapUnit-N_ANTC'!$A$6:$A$96,0)),"")</f>
        <v>2.4E-2</v>
      </c>
      <c r="P53" s="684">
        <f>IFERROR(0.001*INDEX(VehicleCostData!$N$13:$T$102,MATCH($B53,VehicleCostData!$A$13:$A$102,0),MATCH(P$5,VehicleCostData!$N$12:$T$12,0)),"")</f>
        <v>531.43336858461009</v>
      </c>
      <c r="Q53" s="684">
        <f>IFERROR(0.001*INDEX(VehicleCostData!$N$13:$T$102,MATCH($B53,VehicleCostData!$A$13:$A$102,0),MATCH(Q$5,VehicleCostData!$N$12:$T$12,0)),"")</f>
        <v>540.08959568363241</v>
      </c>
      <c r="R53" s="684">
        <f>IFERROR(0.001*INDEX(VehicleCostData!$N$13:$T$102,MATCH($B53,VehicleCostData!$A$13:$A$102,0),MATCH(R$5,VehicleCostData!$N$12:$T$12,0)),"")</f>
        <v>548.74582278265507</v>
      </c>
      <c r="S53" s="684">
        <f>IFERROR(0.001*INDEX(VehicleCostData!$N$13:$T$102,MATCH($B53,VehicleCostData!$A$13:$A$102,0),MATCH(S$5,VehicleCostData!$N$12:$T$12,0)),"")</f>
        <v>554.77116992257743</v>
      </c>
      <c r="T53" s="684">
        <f>IFERROR(0.001*INDEX(VehicleCostData!$N$13:$T$102,MATCH($B53,VehicleCostData!$A$13:$A$102,0),MATCH(T$5,VehicleCostData!$N$12:$T$12,0)),"")</f>
        <v>560.7965170624999</v>
      </c>
      <c r="U53" s="684">
        <f>IFERROR(0.001*INDEX(VehicleCostData!$N$13:$T$102,MATCH($B53,VehicleCostData!$A$13:$A$102,0),MATCH(U$5,VehicleCostData!$N$12:$T$12,0)),"")</f>
        <v>564.26965287362793</v>
      </c>
      <c r="V53" s="684">
        <f>IFERROR(0.001*INDEX(VehicleCostData!$N$13:$T$102,MATCH($B53,VehicleCostData!$A$13:$A$102,0),MATCH(V$5,VehicleCostData!$N$12:$T$12,0)),"")</f>
        <v>567.74278868475642</v>
      </c>
      <c r="W53" s="685">
        <f>IFERROR(0.001*INDEX(VehicleCostData!$V$13:$AB$102,MATCH($B53,VehicleCostData!$A$13:$A$102,0),MATCH(W$5,VehicleCostData!$V$12:$AB$12,0)),"")</f>
        <v>14.348700951784471</v>
      </c>
      <c r="X53" s="685">
        <f>IFERROR(0.001*INDEX(VehicleCostData!$V$13:$AB$102,MATCH($B53,VehicleCostData!$A$13:$A$102,0),MATCH(X$5,VehicleCostData!$V$12:$AB$12,0)),"")</f>
        <v>14.816137215131684</v>
      </c>
      <c r="Y53" s="685">
        <f>IFERROR(0.001*INDEX(VehicleCostData!$V$13:$AB$102,MATCH($B53,VehicleCostData!$A$13:$A$102,0),MATCH(Y$5,VehicleCostData!$V$12:$AB$12,0)),"")</f>
        <v>15.141505960687496</v>
      </c>
      <c r="Z53" s="685">
        <f>IFERROR(0.001*INDEX(VehicleCostData!$V$13:$AB$102,MATCH($B53,VehicleCostData!$A$13:$A$102,0),MATCH(Z$5,VehicleCostData!$V$12:$AB$12,0)),"")</f>
        <v>15.329055294488422</v>
      </c>
      <c r="AA53" s="652">
        <v>20</v>
      </c>
      <c r="AB53" s="652">
        <v>20</v>
      </c>
      <c r="AC53" s="724">
        <v>2017</v>
      </c>
      <c r="AD53" s="688">
        <v>3</v>
      </c>
    </row>
    <row r="54" spans="2:30" x14ac:dyDescent="0.25">
      <c r="B54" s="385" t="str">
        <f>IF(ITEMS_Tech_N!D54="","",ITEMS_Tech_N!D54)</f>
        <v>*</v>
      </c>
      <c r="C54" s="232" t="str">
        <f>IF(ITEMS_Tech_N!E54="","",ITEMS_Tech_N!E54)</f>
        <v/>
      </c>
      <c r="D54" s="219"/>
      <c r="E54" s="219"/>
      <c r="F54" s="377">
        <f>IFERROR(INDEX('EFF-N_ANTC'!$J$6:$N$96,MATCH($B54,'EFF-N_ANTC'!$A$6:$A$96,0),MATCH(F$5,'EFF-N_ANTC'!$J$5:$N$5,0)),"")</f>
        <v>0.23658855771912971</v>
      </c>
      <c r="G54" s="377">
        <f>IFERROR(INDEX('EFF-N_ANTC'!$J$6:$N$96,MATCH($B54,'EFF-N_ANTC'!$A$6:$A$96,0),MATCH(G$5,'EFF-N_ANTC'!$J$5:$N$5,0)),"")</f>
        <v>0.25508715046378805</v>
      </c>
      <c r="H54" s="377">
        <f>IFERROR(INDEX('EFF-N_ANTC'!$J$6:$N$96,MATCH($B54,'EFF-N_ANTC'!$A$6:$A$96,0),MATCH(H$5,'EFF-N_ANTC'!$J$5:$N$5,0)),"")</f>
        <v>0.28205684025891897</v>
      </c>
      <c r="I54" s="377">
        <f>IFERROR(INDEX('EFF-N_ANTC'!$J$6:$N$96,MATCH($B54,'EFF-N_ANTC'!$A$6:$A$96,0),MATCH(I$5,'EFF-N_ANTC'!$J$5:$N$5,0)),"")</f>
        <v>0.31187796402994067</v>
      </c>
      <c r="J54" s="379"/>
      <c r="K54" s="379"/>
      <c r="L54" s="379"/>
      <c r="M54" s="379"/>
      <c r="N54" s="379"/>
      <c r="O54" s="379">
        <f>IFERROR(INDEX('CapUnit-N_ANTC'!$C$6:$C$96,MATCH($B54,'CapUnit-N_ANTC'!$A$6:$A$96,0)),"")</f>
        <v>2.4E-2</v>
      </c>
      <c r="P54" s="684">
        <f>IFERROR(0.001*INDEX(VehicleCostData!$N$13:$T$102,MATCH($B54,VehicleCostData!$A$13:$A$102,0),MATCH(P$5,VehicleCostData!$N$12:$T$12,0)),"")</f>
        <v>531.43336858461009</v>
      </c>
      <c r="Q54" s="684">
        <f>IFERROR(0.001*INDEX(VehicleCostData!$N$13:$T$102,MATCH($B54,VehicleCostData!$A$13:$A$102,0),MATCH(Q$5,VehicleCostData!$N$12:$T$12,0)),"")</f>
        <v>540.08959568363241</v>
      </c>
      <c r="R54" s="684">
        <f>IFERROR(0.001*INDEX(VehicleCostData!$N$13:$T$102,MATCH($B54,VehicleCostData!$A$13:$A$102,0),MATCH(R$5,VehicleCostData!$N$12:$T$12,0)),"")</f>
        <v>548.74582278265507</v>
      </c>
      <c r="S54" s="684">
        <f>IFERROR(0.001*INDEX(VehicleCostData!$N$13:$T$102,MATCH($B54,VehicleCostData!$A$13:$A$102,0),MATCH(S$5,VehicleCostData!$N$12:$T$12,0)),"")</f>
        <v>554.77116992257743</v>
      </c>
      <c r="T54" s="684">
        <f>IFERROR(0.001*INDEX(VehicleCostData!$N$13:$T$102,MATCH($B54,VehicleCostData!$A$13:$A$102,0),MATCH(T$5,VehicleCostData!$N$12:$T$12,0)),"")</f>
        <v>560.7965170624999</v>
      </c>
      <c r="U54" s="684">
        <f>IFERROR(0.001*INDEX(VehicleCostData!$N$13:$T$102,MATCH($B54,VehicleCostData!$A$13:$A$102,0),MATCH(U$5,VehicleCostData!$N$12:$T$12,0)),"")</f>
        <v>564.26965287362793</v>
      </c>
      <c r="V54" s="684">
        <f>IFERROR(0.001*INDEX(VehicleCostData!$N$13:$T$102,MATCH($B54,VehicleCostData!$A$13:$A$102,0),MATCH(V$5,VehicleCostData!$N$12:$T$12,0)),"")</f>
        <v>567.74278868475642</v>
      </c>
      <c r="W54" s="685">
        <f>IFERROR(0.001*INDEX(VehicleCostData!$V$13:$AB$102,MATCH($B54,VehicleCostData!$A$13:$A$102,0),MATCH(W$5,VehicleCostData!$V$12:$AB$12,0)),"")</f>
        <v>14.348700951784471</v>
      </c>
      <c r="X54" s="685">
        <f>IFERROR(0.001*INDEX(VehicleCostData!$V$13:$AB$102,MATCH($B54,VehicleCostData!$A$13:$A$102,0),MATCH(X$5,VehicleCostData!$V$12:$AB$12,0)),"")</f>
        <v>14.816137215131684</v>
      </c>
      <c r="Y54" s="685">
        <f>IFERROR(0.001*INDEX(VehicleCostData!$V$13:$AB$102,MATCH($B54,VehicleCostData!$A$13:$A$102,0),MATCH(Y$5,VehicleCostData!$V$12:$AB$12,0)),"")</f>
        <v>15.141505960687496</v>
      </c>
      <c r="Z54" s="685">
        <f>IFERROR(0.001*INDEX(VehicleCostData!$V$13:$AB$102,MATCH($B54,VehicleCostData!$A$13:$A$102,0),MATCH(Z$5,VehicleCostData!$V$12:$AB$12,0)),"")</f>
        <v>15.329055294488422</v>
      </c>
      <c r="AA54" s="686" t="s">
        <v>504</v>
      </c>
      <c r="AB54" s="686" t="s">
        <v>504</v>
      </c>
      <c r="AC54" s="694" t="str">
        <f t="shared" si="0"/>
        <v/>
      </c>
      <c r="AD54" s="689"/>
    </row>
    <row r="55" spans="2:30" x14ac:dyDescent="0.25">
      <c r="B55" s="385" t="str">
        <f>IF(ITEMS_Tech_N!D55="","",ITEMS_Tech_N!D55)</f>
        <v>*</v>
      </c>
      <c r="C55" s="232" t="str">
        <f>IF(ITEMS_Tech_N!E55="","",ITEMS_Tech_N!E55)</f>
        <v>Public Passenger Rail</v>
      </c>
      <c r="D55" s="219"/>
      <c r="E55" s="219"/>
      <c r="F55" s="377">
        <f>IFERROR(INDEX('EFF-N_ANTC'!$J$6:$N$96,MATCH($B55,'EFF-N_ANTC'!$A$6:$A$96,0),MATCH(F$5,'EFF-N_ANTC'!$J$5:$N$5,0)),"")</f>
        <v>0.23658855771912971</v>
      </c>
      <c r="G55" s="377">
        <f>IFERROR(INDEX('EFF-N_ANTC'!$J$6:$N$96,MATCH($B55,'EFF-N_ANTC'!$A$6:$A$96,0),MATCH(G$5,'EFF-N_ANTC'!$J$5:$N$5,0)),"")</f>
        <v>0.25508715046378805</v>
      </c>
      <c r="H55" s="377">
        <f>IFERROR(INDEX('EFF-N_ANTC'!$J$6:$N$96,MATCH($B55,'EFF-N_ANTC'!$A$6:$A$96,0),MATCH(H$5,'EFF-N_ANTC'!$J$5:$N$5,0)),"")</f>
        <v>0.28205684025891897</v>
      </c>
      <c r="I55" s="377">
        <f>IFERROR(INDEX('EFF-N_ANTC'!$J$6:$N$96,MATCH($B55,'EFF-N_ANTC'!$A$6:$A$96,0),MATCH(I$5,'EFF-N_ANTC'!$J$5:$N$5,0)),"")</f>
        <v>0.31187796402994067</v>
      </c>
      <c r="J55" s="379"/>
      <c r="K55" s="379"/>
      <c r="L55" s="379"/>
      <c r="M55" s="379"/>
      <c r="N55" s="379"/>
      <c r="O55" s="379">
        <f>IFERROR(INDEX('CapUnit-N_ANTC'!$C$6:$C$96,MATCH($B55,'CapUnit-N_ANTC'!$A$6:$A$96,0)),"")</f>
        <v>2.4E-2</v>
      </c>
      <c r="P55" s="684">
        <f>IFERROR(0.001*INDEX(VehicleCostData!$N$13:$T$102,MATCH($B55,VehicleCostData!$A$13:$A$102,0),MATCH(P$5,VehicleCostData!$N$12:$T$12,0)),"")</f>
        <v>531.43336858461009</v>
      </c>
      <c r="Q55" s="684">
        <f>IFERROR(0.001*INDEX(VehicleCostData!$N$13:$T$102,MATCH($B55,VehicleCostData!$A$13:$A$102,0),MATCH(Q$5,VehicleCostData!$N$12:$T$12,0)),"")</f>
        <v>540.08959568363241</v>
      </c>
      <c r="R55" s="684">
        <f>IFERROR(0.001*INDEX(VehicleCostData!$N$13:$T$102,MATCH($B55,VehicleCostData!$A$13:$A$102,0),MATCH(R$5,VehicleCostData!$N$12:$T$12,0)),"")</f>
        <v>548.74582278265507</v>
      </c>
      <c r="S55" s="684">
        <f>IFERROR(0.001*INDEX(VehicleCostData!$N$13:$T$102,MATCH($B55,VehicleCostData!$A$13:$A$102,0),MATCH(S$5,VehicleCostData!$N$12:$T$12,0)),"")</f>
        <v>554.77116992257743</v>
      </c>
      <c r="T55" s="684">
        <f>IFERROR(0.001*INDEX(VehicleCostData!$N$13:$T$102,MATCH($B55,VehicleCostData!$A$13:$A$102,0),MATCH(T$5,VehicleCostData!$N$12:$T$12,0)),"")</f>
        <v>560.7965170624999</v>
      </c>
      <c r="U55" s="684">
        <f>IFERROR(0.001*INDEX(VehicleCostData!$N$13:$T$102,MATCH($B55,VehicleCostData!$A$13:$A$102,0),MATCH(U$5,VehicleCostData!$N$12:$T$12,0)),"")</f>
        <v>564.26965287362793</v>
      </c>
      <c r="V55" s="684">
        <f>IFERROR(0.001*INDEX(VehicleCostData!$N$13:$T$102,MATCH($B55,VehicleCostData!$A$13:$A$102,0),MATCH(V$5,VehicleCostData!$N$12:$T$12,0)),"")</f>
        <v>567.74278868475642</v>
      </c>
      <c r="W55" s="685">
        <f>IFERROR(0.001*INDEX(VehicleCostData!$V$13:$AB$102,MATCH($B55,VehicleCostData!$A$13:$A$102,0),MATCH(W$5,VehicleCostData!$V$12:$AB$12,0)),"")</f>
        <v>14.348700951784471</v>
      </c>
      <c r="X55" s="685">
        <f>IFERROR(0.001*INDEX(VehicleCostData!$V$13:$AB$102,MATCH($B55,VehicleCostData!$A$13:$A$102,0),MATCH(X$5,VehicleCostData!$V$12:$AB$12,0)),"")</f>
        <v>14.816137215131684</v>
      </c>
      <c r="Y55" s="685">
        <f>IFERROR(0.001*INDEX(VehicleCostData!$V$13:$AB$102,MATCH($B55,VehicleCostData!$A$13:$A$102,0),MATCH(Y$5,VehicleCostData!$V$12:$AB$12,0)),"")</f>
        <v>15.141505960687496</v>
      </c>
      <c r="Z55" s="685">
        <f>IFERROR(0.001*INDEX(VehicleCostData!$V$13:$AB$102,MATCH($B55,VehicleCostData!$A$13:$A$102,0),MATCH(Z$5,VehicleCostData!$V$12:$AB$12,0)),"")</f>
        <v>15.329055294488422</v>
      </c>
      <c r="AA55" s="686" t="s">
        <v>504</v>
      </c>
      <c r="AB55" s="686" t="s">
        <v>504</v>
      </c>
      <c r="AC55" s="694" t="str">
        <f t="shared" si="0"/>
        <v/>
      </c>
      <c r="AD55" s="689"/>
    </row>
    <row r="56" spans="2:30" x14ac:dyDescent="0.25">
      <c r="B56" s="385" t="str">
        <f>IF(ITEMS_Tech_N!D56="","",ITEMS_Tech_N!D56)</f>
        <v>TPPUMERELC-N</v>
      </c>
      <c r="C56" s="232" t="str">
        <f>IF(ITEMS_Tech_N!E56="","",ITEMS_Tech_N!E56)</f>
        <v>Transport Passenger Metro Rail Electricity-N</v>
      </c>
      <c r="D56" s="219" t="s">
        <v>412</v>
      </c>
      <c r="E56" s="219" t="s">
        <v>426</v>
      </c>
      <c r="F56" s="377">
        <f>IFERROR(INDEX('EFF-N_ANTC'!$J$6:$N$96,MATCH($B56,'EFF-N_ANTC'!$A$6:$A$96,0),MATCH(F$5,'EFF-N_ANTC'!$J$5:$N$5,0)),"")</f>
        <v>3.8580574799679606</v>
      </c>
      <c r="G56" s="377">
        <f>IFERROR(INDEX('EFF-N_ANTC'!$J$6:$N$96,MATCH($B56,'EFF-N_ANTC'!$A$6:$A$96,0),MATCH(G$5,'EFF-N_ANTC'!$J$5:$N$5,0)),"")</f>
        <v>3.8580574799679606</v>
      </c>
      <c r="H56" s="377">
        <f>IFERROR(INDEX('EFF-N_ANTC'!$J$6:$N$96,MATCH($B56,'EFF-N_ANTC'!$A$6:$A$96,0),MATCH(H$5,'EFF-N_ANTC'!$J$5:$N$5,0)),"")</f>
        <v>3.8580574799679606</v>
      </c>
      <c r="I56" s="377">
        <f>IFERROR(INDEX('EFF-N_ANTC'!$J$6:$N$96,MATCH($B56,'EFF-N_ANTC'!$A$6:$A$96,0),MATCH(I$5,'EFF-N_ANTC'!$J$5:$N$5,0)),"")</f>
        <v>3.8580574799679606</v>
      </c>
      <c r="J56" s="652">
        <v>1</v>
      </c>
      <c r="K56" s="652">
        <v>1</v>
      </c>
      <c r="L56" s="652">
        <v>1</v>
      </c>
      <c r="M56" s="652">
        <v>1</v>
      </c>
      <c r="N56" s="652">
        <v>1</v>
      </c>
      <c r="O56" s="379">
        <f>IFERROR(INDEX('CapUnit-N_ANTC'!$C$6:$C$96,MATCH($B56,'CapUnit-N_ANTC'!$A$6:$A$96,0)),"")</f>
        <v>1</v>
      </c>
      <c r="P56" s="684" t="str">
        <f>IFERROR(0.001*INDEX(VehicleCostData!$N$13:$T$102,MATCH($B56,VehicleCostData!$A$13:$A$102,0),MATCH(P$5,VehicleCostData!$N$12:$T$12,0)),"")</f>
        <v/>
      </c>
      <c r="Q56" s="684" t="str">
        <f>IFERROR(0.001*INDEX(VehicleCostData!$N$13:$T$102,MATCH($B56,VehicleCostData!$A$13:$A$102,0),MATCH(Q$5,VehicleCostData!$N$12:$T$12,0)),"")</f>
        <v/>
      </c>
      <c r="R56" s="684" t="str">
        <f>IFERROR(0.001*INDEX(VehicleCostData!$N$13:$T$102,MATCH($B56,VehicleCostData!$A$13:$A$102,0),MATCH(R$5,VehicleCostData!$N$12:$T$12,0)),"")</f>
        <v/>
      </c>
      <c r="S56" s="684" t="str">
        <f>IFERROR(0.001*INDEX(VehicleCostData!$N$13:$T$102,MATCH($B56,VehicleCostData!$A$13:$A$102,0),MATCH(S$5,VehicleCostData!$N$12:$T$12,0)),"")</f>
        <v/>
      </c>
      <c r="T56" s="684" t="str">
        <f>IFERROR(0.001*INDEX(VehicleCostData!$N$13:$T$102,MATCH($B56,VehicleCostData!$A$13:$A$102,0),MATCH(T$5,VehicleCostData!$N$12:$T$12,0)),"")</f>
        <v/>
      </c>
      <c r="U56" s="684" t="str">
        <f>IFERROR(0.001*INDEX(VehicleCostData!$N$13:$T$102,MATCH($B56,VehicleCostData!$A$13:$A$102,0),MATCH(U$5,VehicleCostData!$N$12:$T$12,0)),"")</f>
        <v/>
      </c>
      <c r="V56" s="684" t="str">
        <f>IFERROR(0.001*INDEX(VehicleCostData!$N$13:$T$102,MATCH($B56,VehicleCostData!$A$13:$A$102,0),MATCH(V$5,VehicleCostData!$N$12:$T$12,0)),"")</f>
        <v/>
      </c>
      <c r="W56" s="685">
        <f>IFERROR(0.001*INDEX(VehicleCostData!$V$13:$AB$102,MATCH($B56,VehicleCostData!$A$13:$A$102,0),MATCH(W$5,VehicleCostData!$V$12:$AB$12,0)),"")</f>
        <v>0</v>
      </c>
      <c r="X56" s="685">
        <f>IFERROR(0.001*INDEX(VehicleCostData!$V$13:$AB$102,MATCH($B56,VehicleCostData!$A$13:$A$102,0),MATCH(X$5,VehicleCostData!$V$12:$AB$12,0)),"")</f>
        <v>0</v>
      </c>
      <c r="Y56" s="685">
        <f>IFERROR(0.001*INDEX(VehicleCostData!$V$13:$AB$102,MATCH($B56,VehicleCostData!$A$13:$A$102,0),MATCH(Y$5,VehicleCostData!$V$12:$AB$12,0)),"")</f>
        <v>0</v>
      </c>
      <c r="Z56" s="685">
        <f>IFERROR(0.001*INDEX(VehicleCostData!$V$13:$AB$102,MATCH($B56,VehicleCostData!$A$13:$A$102,0),MATCH(Z$5,VehicleCostData!$V$12:$AB$12,0)),"")</f>
        <v>0</v>
      </c>
      <c r="AA56" s="652">
        <v>50</v>
      </c>
      <c r="AB56" s="652">
        <v>50</v>
      </c>
      <c r="AC56" s="694">
        <f t="shared" si="0"/>
        <v>2018</v>
      </c>
      <c r="AD56" s="688">
        <v>1</v>
      </c>
    </row>
    <row r="57" spans="2:30" x14ac:dyDescent="0.25">
      <c r="B57" s="385" t="str">
        <f>IF(ITEMS_Tech_N!D57="","",ITEMS_Tech_N!D57)</f>
        <v>TPPUGATELC-N</v>
      </c>
      <c r="C57" s="232" t="str">
        <f>IF(ITEMS_Tech_N!E57="","",ITEMS_Tech_N!E57)</f>
        <v>Transport Passenger Gautrain Electricity-N</v>
      </c>
      <c r="D57" s="219" t="s">
        <v>412</v>
      </c>
      <c r="E57" s="219" t="s">
        <v>427</v>
      </c>
      <c r="F57" s="377">
        <f>IFERROR(INDEX('EFF-N_ANTC'!$J$6:$N$96,MATCH($B57,'EFF-N_ANTC'!$A$6:$A$96,0),MATCH(F$5,'EFF-N_ANTC'!$J$5:$N$5,0)),"")</f>
        <v>0.14280210227848097</v>
      </c>
      <c r="G57" s="377">
        <f>IFERROR(INDEX('EFF-N_ANTC'!$J$6:$N$96,MATCH($B57,'EFF-N_ANTC'!$A$6:$A$96,0),MATCH(G$5,'EFF-N_ANTC'!$J$5:$N$5,0)),"")</f>
        <v>0.14280210227848097</v>
      </c>
      <c r="H57" s="377">
        <f>IFERROR(INDEX('EFF-N_ANTC'!$J$6:$N$96,MATCH($B57,'EFF-N_ANTC'!$A$6:$A$96,0),MATCH(H$5,'EFF-N_ANTC'!$J$5:$N$5,0)),"")</f>
        <v>0.14280210227848097</v>
      </c>
      <c r="I57" s="377">
        <f>IFERROR(INDEX('EFF-N_ANTC'!$J$6:$N$96,MATCH($B57,'EFF-N_ANTC'!$A$6:$A$96,0),MATCH(I$5,'EFF-N_ANTC'!$J$5:$N$5,0)),"")</f>
        <v>0.14280210227848097</v>
      </c>
      <c r="J57" s="652">
        <v>1</v>
      </c>
      <c r="K57" s="652">
        <v>1</v>
      </c>
      <c r="L57" s="652">
        <v>1</v>
      </c>
      <c r="M57" s="652">
        <v>1</v>
      </c>
      <c r="N57" s="652">
        <v>1</v>
      </c>
      <c r="O57" s="379">
        <f>IFERROR(INDEX('CapUnit-N_ANTC'!$C$6:$C$96,MATCH($B57,'CapUnit-N_ANTC'!$A$6:$A$96,0)),"")</f>
        <v>1</v>
      </c>
      <c r="P57" s="684" t="str">
        <f>IFERROR(0.001*INDEX(VehicleCostData!$N$13:$T$102,MATCH($B57,VehicleCostData!$A$13:$A$102,0),MATCH(P$5,VehicleCostData!$N$12:$T$12,0)),"")</f>
        <v/>
      </c>
      <c r="Q57" s="684" t="str">
        <f>IFERROR(0.001*INDEX(VehicleCostData!$N$13:$T$102,MATCH($B57,VehicleCostData!$A$13:$A$102,0),MATCH(Q$5,VehicleCostData!$N$12:$T$12,0)),"")</f>
        <v/>
      </c>
      <c r="R57" s="684" t="str">
        <f>IFERROR(0.001*INDEX(VehicleCostData!$N$13:$T$102,MATCH($B57,VehicleCostData!$A$13:$A$102,0),MATCH(R$5,VehicleCostData!$N$12:$T$12,0)),"")</f>
        <v/>
      </c>
      <c r="S57" s="684" t="str">
        <f>IFERROR(0.001*INDEX(VehicleCostData!$N$13:$T$102,MATCH($B57,VehicleCostData!$A$13:$A$102,0),MATCH(S$5,VehicleCostData!$N$12:$T$12,0)),"")</f>
        <v/>
      </c>
      <c r="T57" s="684" t="str">
        <f>IFERROR(0.001*INDEX(VehicleCostData!$N$13:$T$102,MATCH($B57,VehicleCostData!$A$13:$A$102,0),MATCH(T$5,VehicleCostData!$N$12:$T$12,0)),"")</f>
        <v/>
      </c>
      <c r="U57" s="684" t="str">
        <f>IFERROR(0.001*INDEX(VehicleCostData!$N$13:$T$102,MATCH($B57,VehicleCostData!$A$13:$A$102,0),MATCH(U$5,VehicleCostData!$N$12:$T$12,0)),"")</f>
        <v/>
      </c>
      <c r="V57" s="684" t="str">
        <f>IFERROR(0.001*INDEX(VehicleCostData!$N$13:$T$102,MATCH($B57,VehicleCostData!$A$13:$A$102,0),MATCH(V$5,VehicleCostData!$N$12:$T$12,0)),"")</f>
        <v/>
      </c>
      <c r="W57" s="685">
        <f>IFERROR(0.001*INDEX(VehicleCostData!$V$13:$AB$102,MATCH($B57,VehicleCostData!$A$13:$A$102,0),MATCH(W$5,VehicleCostData!$V$12:$AB$12,0)),"")</f>
        <v>0</v>
      </c>
      <c r="X57" s="685">
        <f>IFERROR(0.001*INDEX(VehicleCostData!$V$13:$AB$102,MATCH($B57,VehicleCostData!$A$13:$A$102,0),MATCH(X$5,VehicleCostData!$V$12:$AB$12,0)),"")</f>
        <v>0</v>
      </c>
      <c r="Y57" s="685">
        <f>IFERROR(0.001*INDEX(VehicleCostData!$V$13:$AB$102,MATCH($B57,VehicleCostData!$A$13:$A$102,0),MATCH(Y$5,VehicleCostData!$V$12:$AB$12,0)),"")</f>
        <v>0</v>
      </c>
      <c r="Z57" s="685">
        <f>IFERROR(0.001*INDEX(VehicleCostData!$V$13:$AB$102,MATCH($B57,VehicleCostData!$A$13:$A$102,0),MATCH(Z$5,VehicleCostData!$V$12:$AB$12,0)),"")</f>
        <v>0</v>
      </c>
      <c r="AA57" s="652">
        <v>50</v>
      </c>
      <c r="AB57" s="652">
        <v>50</v>
      </c>
      <c r="AC57" s="724">
        <v>2017</v>
      </c>
      <c r="AD57" s="688">
        <v>1</v>
      </c>
    </row>
    <row r="58" spans="2:30" x14ac:dyDescent="0.25">
      <c r="B58" s="385" t="str">
        <f>IF(ITEMS_Tech_N!D58="","",ITEMS_Tech_N!D58)</f>
        <v>*</v>
      </c>
      <c r="C58" s="232" t="str">
        <f>IF(ITEMS_Tech_N!E58="","",ITEMS_Tech_N!E58)</f>
        <v/>
      </c>
      <c r="D58" s="219"/>
      <c r="E58" s="219"/>
      <c r="F58" s="377">
        <f>IFERROR(INDEX('EFF-N_ANTC'!$J$6:$N$96,MATCH($B58,'EFF-N_ANTC'!$A$6:$A$96,0),MATCH(F$5,'EFF-N_ANTC'!$J$5:$N$5,0)),"")</f>
        <v>0.23658855771912971</v>
      </c>
      <c r="G58" s="377">
        <f>IFERROR(INDEX('EFF-N_ANTC'!$J$6:$N$96,MATCH($B58,'EFF-N_ANTC'!$A$6:$A$96,0),MATCH(G$5,'EFF-N_ANTC'!$J$5:$N$5,0)),"")</f>
        <v>0.25508715046378805</v>
      </c>
      <c r="H58" s="377">
        <f>IFERROR(INDEX('EFF-N_ANTC'!$J$6:$N$96,MATCH($B58,'EFF-N_ANTC'!$A$6:$A$96,0),MATCH(H$5,'EFF-N_ANTC'!$J$5:$N$5,0)),"")</f>
        <v>0.28205684025891897</v>
      </c>
      <c r="I58" s="377">
        <f>IFERROR(INDEX('EFF-N_ANTC'!$J$6:$N$96,MATCH($B58,'EFF-N_ANTC'!$A$6:$A$96,0),MATCH(I$5,'EFF-N_ANTC'!$J$5:$N$5,0)),"")</f>
        <v>0.31187796402994067</v>
      </c>
      <c r="J58" s="379"/>
      <c r="K58" s="379"/>
      <c r="L58" s="379"/>
      <c r="M58" s="379"/>
      <c r="N58" s="379"/>
      <c r="O58" s="379">
        <f>IFERROR(INDEX('CapUnit-N_ANTC'!$C$6:$C$96,MATCH($B58,'CapUnit-N_ANTC'!$A$6:$A$96,0)),"")</f>
        <v>2.4E-2</v>
      </c>
      <c r="P58" s="684">
        <f>IFERROR(0.001*INDEX(VehicleCostData!$N$13:$T$102,MATCH($B58,VehicleCostData!$A$13:$A$102,0),MATCH(P$5,VehicleCostData!$N$12:$T$12,0)),"")</f>
        <v>531.43336858461009</v>
      </c>
      <c r="Q58" s="684">
        <f>IFERROR(0.001*INDEX(VehicleCostData!$N$13:$T$102,MATCH($B58,VehicleCostData!$A$13:$A$102,0),MATCH(Q$5,VehicleCostData!$N$12:$T$12,0)),"")</f>
        <v>540.08959568363241</v>
      </c>
      <c r="R58" s="684">
        <f>IFERROR(0.001*INDEX(VehicleCostData!$N$13:$T$102,MATCH($B58,VehicleCostData!$A$13:$A$102,0),MATCH(R$5,VehicleCostData!$N$12:$T$12,0)),"")</f>
        <v>548.74582278265507</v>
      </c>
      <c r="S58" s="684">
        <f>IFERROR(0.001*INDEX(VehicleCostData!$N$13:$T$102,MATCH($B58,VehicleCostData!$A$13:$A$102,0),MATCH(S$5,VehicleCostData!$N$12:$T$12,0)),"")</f>
        <v>554.77116992257743</v>
      </c>
      <c r="T58" s="684">
        <f>IFERROR(0.001*INDEX(VehicleCostData!$N$13:$T$102,MATCH($B58,VehicleCostData!$A$13:$A$102,0),MATCH(T$5,VehicleCostData!$N$12:$T$12,0)),"")</f>
        <v>560.7965170624999</v>
      </c>
      <c r="U58" s="684">
        <f>IFERROR(0.001*INDEX(VehicleCostData!$N$13:$T$102,MATCH($B58,VehicleCostData!$A$13:$A$102,0),MATCH(U$5,VehicleCostData!$N$12:$T$12,0)),"")</f>
        <v>564.26965287362793</v>
      </c>
      <c r="V58" s="684">
        <f>IFERROR(0.001*INDEX(VehicleCostData!$N$13:$T$102,MATCH($B58,VehicleCostData!$A$13:$A$102,0),MATCH(V$5,VehicleCostData!$N$12:$T$12,0)),"")</f>
        <v>567.74278868475642</v>
      </c>
      <c r="W58" s="685">
        <f>IFERROR(0.001*INDEX(VehicleCostData!$V$13:$AB$102,MATCH($B58,VehicleCostData!$A$13:$A$102,0),MATCH(W$5,VehicleCostData!$V$12:$AB$12,0)),"")</f>
        <v>14.348700951784471</v>
      </c>
      <c r="X58" s="685">
        <f>IFERROR(0.001*INDEX(VehicleCostData!$V$13:$AB$102,MATCH($B58,VehicleCostData!$A$13:$A$102,0),MATCH(X$5,VehicleCostData!$V$12:$AB$12,0)),"")</f>
        <v>14.816137215131684</v>
      </c>
      <c r="Y58" s="685">
        <f>IFERROR(0.001*INDEX(VehicleCostData!$V$13:$AB$102,MATCH($B58,VehicleCostData!$A$13:$A$102,0),MATCH(Y$5,VehicleCostData!$V$12:$AB$12,0)),"")</f>
        <v>15.141505960687496</v>
      </c>
      <c r="Z58" s="685">
        <f>IFERROR(0.001*INDEX(VehicleCostData!$V$13:$AB$102,MATCH($B58,VehicleCostData!$A$13:$A$102,0),MATCH(Z$5,VehicleCostData!$V$12:$AB$12,0)),"")</f>
        <v>15.329055294488422</v>
      </c>
      <c r="AA58" s="686" t="s">
        <v>504</v>
      </c>
      <c r="AB58" s="686" t="s">
        <v>504</v>
      </c>
      <c r="AC58" s="694" t="str">
        <f t="shared" si="0"/>
        <v/>
      </c>
      <c r="AD58" s="689"/>
    </row>
    <row r="59" spans="2:30" x14ac:dyDescent="0.25">
      <c r="B59" s="385" t="str">
        <f>IF(ITEMS_Tech_N!D59="","",ITEMS_Tech_N!D59)</f>
        <v>*</v>
      </c>
      <c r="C59" s="232" t="str">
        <f>IF(ITEMS_Tech_N!E59="","",ITEMS_Tech_N!E59)</f>
        <v/>
      </c>
      <c r="D59" s="219"/>
      <c r="E59" s="219"/>
      <c r="F59" s="377">
        <f>IFERROR(INDEX('EFF-N_ANTC'!$J$6:$N$96,MATCH($B59,'EFF-N_ANTC'!$A$6:$A$96,0),MATCH(F$5,'EFF-N_ANTC'!$J$5:$N$5,0)),"")</f>
        <v>0.23658855771912971</v>
      </c>
      <c r="G59" s="377">
        <f>IFERROR(INDEX('EFF-N_ANTC'!$J$6:$N$96,MATCH($B59,'EFF-N_ANTC'!$A$6:$A$96,0),MATCH(G$5,'EFF-N_ANTC'!$J$5:$N$5,0)),"")</f>
        <v>0.25508715046378805</v>
      </c>
      <c r="H59" s="377">
        <f>IFERROR(INDEX('EFF-N_ANTC'!$J$6:$N$96,MATCH($B59,'EFF-N_ANTC'!$A$6:$A$96,0),MATCH(H$5,'EFF-N_ANTC'!$J$5:$N$5,0)),"")</f>
        <v>0.28205684025891897</v>
      </c>
      <c r="I59" s="377">
        <f>IFERROR(INDEX('EFF-N_ANTC'!$J$6:$N$96,MATCH($B59,'EFF-N_ANTC'!$A$6:$A$96,0),MATCH(I$5,'EFF-N_ANTC'!$J$5:$N$5,0)),"")</f>
        <v>0.31187796402994067</v>
      </c>
      <c r="J59" s="379"/>
      <c r="K59" s="379"/>
      <c r="L59" s="379"/>
      <c r="M59" s="379"/>
      <c r="N59" s="379"/>
      <c r="O59" s="379">
        <f>IFERROR(INDEX('CapUnit-N_ANTC'!$C$6:$C$96,MATCH($B59,'CapUnit-N_ANTC'!$A$6:$A$96,0)),"")</f>
        <v>2.4E-2</v>
      </c>
      <c r="P59" s="684">
        <f>IFERROR(0.001*INDEX(VehicleCostData!$N$13:$T$102,MATCH($B59,VehicleCostData!$A$13:$A$102,0),MATCH(P$5,VehicleCostData!$N$12:$T$12,0)),"")</f>
        <v>531.43336858461009</v>
      </c>
      <c r="Q59" s="684">
        <f>IFERROR(0.001*INDEX(VehicleCostData!$N$13:$T$102,MATCH($B59,VehicleCostData!$A$13:$A$102,0),MATCH(Q$5,VehicleCostData!$N$12:$T$12,0)),"")</f>
        <v>540.08959568363241</v>
      </c>
      <c r="R59" s="684">
        <f>IFERROR(0.001*INDEX(VehicleCostData!$N$13:$T$102,MATCH($B59,VehicleCostData!$A$13:$A$102,0),MATCH(R$5,VehicleCostData!$N$12:$T$12,0)),"")</f>
        <v>548.74582278265507</v>
      </c>
      <c r="S59" s="684">
        <f>IFERROR(0.001*INDEX(VehicleCostData!$N$13:$T$102,MATCH($B59,VehicleCostData!$A$13:$A$102,0),MATCH(S$5,VehicleCostData!$N$12:$T$12,0)),"")</f>
        <v>554.77116992257743</v>
      </c>
      <c r="T59" s="684">
        <f>IFERROR(0.001*INDEX(VehicleCostData!$N$13:$T$102,MATCH($B59,VehicleCostData!$A$13:$A$102,0),MATCH(T$5,VehicleCostData!$N$12:$T$12,0)),"")</f>
        <v>560.7965170624999</v>
      </c>
      <c r="U59" s="684">
        <f>IFERROR(0.001*INDEX(VehicleCostData!$N$13:$T$102,MATCH($B59,VehicleCostData!$A$13:$A$102,0),MATCH(U$5,VehicleCostData!$N$12:$T$12,0)),"")</f>
        <v>564.26965287362793</v>
      </c>
      <c r="V59" s="684">
        <f>IFERROR(0.001*INDEX(VehicleCostData!$N$13:$T$102,MATCH($B59,VehicleCostData!$A$13:$A$102,0),MATCH(V$5,VehicleCostData!$N$12:$T$12,0)),"")</f>
        <v>567.74278868475642</v>
      </c>
      <c r="W59" s="685">
        <f>IFERROR(0.001*INDEX(VehicleCostData!$V$13:$AB$102,MATCH($B59,VehicleCostData!$A$13:$A$102,0),MATCH(W$5,VehicleCostData!$V$12:$AB$12,0)),"")</f>
        <v>14.348700951784471</v>
      </c>
      <c r="X59" s="685">
        <f>IFERROR(0.001*INDEX(VehicleCostData!$V$13:$AB$102,MATCH($B59,VehicleCostData!$A$13:$A$102,0),MATCH(X$5,VehicleCostData!$V$12:$AB$12,0)),"")</f>
        <v>14.816137215131684</v>
      </c>
      <c r="Y59" s="685">
        <f>IFERROR(0.001*INDEX(VehicleCostData!$V$13:$AB$102,MATCH($B59,VehicleCostData!$A$13:$A$102,0),MATCH(Y$5,VehicleCostData!$V$12:$AB$12,0)),"")</f>
        <v>15.141505960687496</v>
      </c>
      <c r="Z59" s="685">
        <f>IFERROR(0.001*INDEX(VehicleCostData!$V$13:$AB$102,MATCH($B59,VehicleCostData!$A$13:$A$102,0),MATCH(Z$5,VehicleCostData!$V$12:$AB$12,0)),"")</f>
        <v>15.329055294488422</v>
      </c>
      <c r="AA59" s="686" t="s">
        <v>504</v>
      </c>
      <c r="AB59" s="686" t="s">
        <v>504</v>
      </c>
      <c r="AC59" s="694" t="str">
        <f t="shared" si="0"/>
        <v/>
      </c>
      <c r="AD59" s="689"/>
    </row>
    <row r="60" spans="2:30" x14ac:dyDescent="0.25">
      <c r="B60" s="385" t="str">
        <f>IF(ITEMS_Tech_N!D60="","",ITEMS_Tech_N!D60)</f>
        <v>*</v>
      </c>
      <c r="C60" s="232" t="str">
        <f>IF(ITEMS_Tech_N!E60="","",ITEMS_Tech_N!E60)</f>
        <v>Freight LCVs</v>
      </c>
      <c r="D60" s="219"/>
      <c r="E60" s="219"/>
      <c r="F60" s="377">
        <f>IFERROR(INDEX('EFF-N_ANTC'!$J$6:$N$96,MATCH($B60,'EFF-N_ANTC'!$A$6:$A$96,0),MATCH(F$5,'EFF-N_ANTC'!$J$5:$N$5,0)),"")</f>
        <v>0.23658855771912971</v>
      </c>
      <c r="G60" s="377">
        <f>IFERROR(INDEX('EFF-N_ANTC'!$J$6:$N$96,MATCH($B60,'EFF-N_ANTC'!$A$6:$A$96,0),MATCH(G$5,'EFF-N_ANTC'!$J$5:$N$5,0)),"")</f>
        <v>0.25508715046378805</v>
      </c>
      <c r="H60" s="377">
        <f>IFERROR(INDEX('EFF-N_ANTC'!$J$6:$N$96,MATCH($B60,'EFF-N_ANTC'!$A$6:$A$96,0),MATCH(H$5,'EFF-N_ANTC'!$J$5:$N$5,0)),"")</f>
        <v>0.28205684025891897</v>
      </c>
      <c r="I60" s="377">
        <f>IFERROR(INDEX('EFF-N_ANTC'!$J$6:$N$96,MATCH($B60,'EFF-N_ANTC'!$A$6:$A$96,0),MATCH(I$5,'EFF-N_ANTC'!$J$5:$N$5,0)),"")</f>
        <v>0.31187796402994067</v>
      </c>
      <c r="J60" s="379"/>
      <c r="K60" s="379"/>
      <c r="L60" s="379"/>
      <c r="M60" s="379"/>
      <c r="N60" s="379"/>
      <c r="O60" s="379">
        <f>IFERROR(INDEX('CapUnit-N_ANTC'!$C$6:$C$96,MATCH($B60,'CapUnit-N_ANTC'!$A$6:$A$96,0)),"")</f>
        <v>2.4E-2</v>
      </c>
      <c r="P60" s="684">
        <f>IFERROR(0.001*INDEX(VehicleCostData!$N$13:$T$102,MATCH($B60,VehicleCostData!$A$13:$A$102,0),MATCH(P$5,VehicleCostData!$N$12:$T$12,0)),"")</f>
        <v>531.43336858461009</v>
      </c>
      <c r="Q60" s="684">
        <f>IFERROR(0.001*INDEX(VehicleCostData!$N$13:$T$102,MATCH($B60,VehicleCostData!$A$13:$A$102,0),MATCH(Q$5,VehicleCostData!$N$12:$T$12,0)),"")</f>
        <v>540.08959568363241</v>
      </c>
      <c r="R60" s="684">
        <f>IFERROR(0.001*INDEX(VehicleCostData!$N$13:$T$102,MATCH($B60,VehicleCostData!$A$13:$A$102,0),MATCH(R$5,VehicleCostData!$N$12:$T$12,0)),"")</f>
        <v>548.74582278265507</v>
      </c>
      <c r="S60" s="684">
        <f>IFERROR(0.001*INDEX(VehicleCostData!$N$13:$T$102,MATCH($B60,VehicleCostData!$A$13:$A$102,0),MATCH(S$5,VehicleCostData!$N$12:$T$12,0)),"")</f>
        <v>554.77116992257743</v>
      </c>
      <c r="T60" s="684">
        <f>IFERROR(0.001*INDEX(VehicleCostData!$N$13:$T$102,MATCH($B60,VehicleCostData!$A$13:$A$102,0),MATCH(T$5,VehicleCostData!$N$12:$T$12,0)),"")</f>
        <v>560.7965170624999</v>
      </c>
      <c r="U60" s="684">
        <f>IFERROR(0.001*INDEX(VehicleCostData!$N$13:$T$102,MATCH($B60,VehicleCostData!$A$13:$A$102,0),MATCH(U$5,VehicleCostData!$N$12:$T$12,0)),"")</f>
        <v>564.26965287362793</v>
      </c>
      <c r="V60" s="684">
        <f>IFERROR(0.001*INDEX(VehicleCostData!$N$13:$T$102,MATCH($B60,VehicleCostData!$A$13:$A$102,0),MATCH(V$5,VehicleCostData!$N$12:$T$12,0)),"")</f>
        <v>567.74278868475642</v>
      </c>
      <c r="W60" s="685">
        <f>IFERROR(0.001*INDEX(VehicleCostData!$V$13:$AB$102,MATCH($B60,VehicleCostData!$A$13:$A$102,0),MATCH(W$5,VehicleCostData!$V$12:$AB$12,0)),"")</f>
        <v>14.348700951784471</v>
      </c>
      <c r="X60" s="685">
        <f>IFERROR(0.001*INDEX(VehicleCostData!$V$13:$AB$102,MATCH($B60,VehicleCostData!$A$13:$A$102,0),MATCH(X$5,VehicleCostData!$V$12:$AB$12,0)),"")</f>
        <v>14.816137215131684</v>
      </c>
      <c r="Y60" s="685">
        <f>IFERROR(0.001*INDEX(VehicleCostData!$V$13:$AB$102,MATCH($B60,VehicleCostData!$A$13:$A$102,0),MATCH(Y$5,VehicleCostData!$V$12:$AB$12,0)),"")</f>
        <v>15.141505960687496</v>
      </c>
      <c r="Z60" s="685">
        <f>IFERROR(0.001*INDEX(VehicleCostData!$V$13:$AB$102,MATCH($B60,VehicleCostData!$A$13:$A$102,0),MATCH(Z$5,VehicleCostData!$V$12:$AB$12,0)),"")</f>
        <v>15.329055294488422</v>
      </c>
      <c r="AA60" s="686" t="s">
        <v>504</v>
      </c>
      <c r="AB60" s="686" t="s">
        <v>504</v>
      </c>
      <c r="AC60" s="694" t="str">
        <f t="shared" si="0"/>
        <v/>
      </c>
      <c r="AD60" s="689"/>
    </row>
    <row r="61" spans="2:30" x14ac:dyDescent="0.25">
      <c r="B61" s="385" t="str">
        <f>IF(ITEMS_Tech_N!D61="","",ITEMS_Tech_N!D61)</f>
        <v>TFLCVODS-N</v>
      </c>
      <c r="C61" s="232" t="str">
        <f>IF(ITEMS_Tech_N!E61="","",ITEMS_Tech_N!E61)</f>
        <v>Transport Freight - LCV Oil Diesel-N</v>
      </c>
      <c r="D61" s="219" t="s">
        <v>411</v>
      </c>
      <c r="E61" s="219" t="s">
        <v>276</v>
      </c>
      <c r="F61" s="377">
        <f>IFERROR(INDEX('EFF-N_ANTC'!$J$6:$N$96,MATCH($B61,'EFF-N_ANTC'!$A$6:$A$96,0),MATCH(F$5,'EFF-N_ANTC'!$J$5:$N$5,0)),"")</f>
        <v>0.23665489362454264</v>
      </c>
      <c r="G61" s="377">
        <f>IFERROR(INDEX('EFF-N_ANTC'!$J$6:$N$96,MATCH($B61,'EFF-N_ANTC'!$A$6:$A$96,0),MATCH(G$5,'EFF-N_ANTC'!$J$5:$N$5,0)),"")</f>
        <v>0.25007346676770725</v>
      </c>
      <c r="H61" s="377">
        <f>IFERROR(INDEX('EFF-N_ANTC'!$J$6:$N$96,MATCH($B61,'EFF-N_ANTC'!$A$6:$A$96,0),MATCH(H$5,'EFF-N_ANTC'!$J$5:$N$5,0)),"")</f>
        <v>0.27651307304523115</v>
      </c>
      <c r="I61" s="377">
        <f>IFERROR(INDEX('EFF-N_ANTC'!$J$6:$N$96,MATCH($B61,'EFF-N_ANTC'!$A$6:$A$96,0),MATCH(I$5,'EFF-N_ANTC'!$J$5:$N$5,0)),"")</f>
        <v>0.30574806897022955</v>
      </c>
      <c r="J61" s="652">
        <v>1</v>
      </c>
      <c r="K61" s="652">
        <v>1</v>
      </c>
      <c r="L61" s="652">
        <v>1</v>
      </c>
      <c r="M61" s="652">
        <v>1</v>
      </c>
      <c r="N61" s="652">
        <v>1</v>
      </c>
      <c r="O61" s="379">
        <f>IFERROR(INDEX('CapUnit-N_ANTC'!$C$6:$C$96,MATCH($B61,'CapUnit-N_ANTC'!$A$6:$A$96,0)),"")</f>
        <v>0.04</v>
      </c>
      <c r="P61" s="684">
        <f>IFERROR(0.001*INDEX(VehicleCostData!$N$13:$T$102,MATCH($B61,VehicleCostData!$A$13:$A$102,0),MATCH(P$5,VehicleCostData!$N$12:$T$12,0)),"")</f>
        <v>361.01965202613786</v>
      </c>
      <c r="Q61" s="684">
        <f>IFERROR(0.001*INDEX(VehicleCostData!$N$13:$T$102,MATCH($B61,VehicleCostData!$A$13:$A$102,0),MATCH(Q$5,VehicleCostData!$N$12:$T$12,0)),"")</f>
        <v>369.0862470921308</v>
      </c>
      <c r="R61" s="684">
        <f>IFERROR(0.001*INDEX(VehicleCostData!$N$13:$T$102,MATCH($B61,VehicleCostData!$A$13:$A$102,0),MATCH(R$5,VehicleCostData!$N$12:$T$12,0)),"")</f>
        <v>371.68873328175169</v>
      </c>
      <c r="S61" s="684">
        <f>IFERROR(0.001*INDEX(VehicleCostData!$N$13:$T$102,MATCH($B61,VehicleCostData!$A$13:$A$102,0),MATCH(S$5,VehicleCostData!$N$12:$T$12,0)),"")</f>
        <v>373.74972276583298</v>
      </c>
      <c r="T61" s="684">
        <f>IFERROR(0.001*INDEX(VehicleCostData!$N$13:$T$102,MATCH($B61,VehicleCostData!$A$13:$A$102,0),MATCH(T$5,VehicleCostData!$N$12:$T$12,0)),"")</f>
        <v>375.81071224991433</v>
      </c>
      <c r="U61" s="684">
        <f>IFERROR(0.001*INDEX(VehicleCostData!$N$13:$T$102,MATCH($B61,VehicleCostData!$A$13:$A$102,0),MATCH(U$5,VehicleCostData!$N$12:$T$12,0)),"")</f>
        <v>376.66565645920014</v>
      </c>
      <c r="V61" s="684">
        <f>IFERROR(0.001*INDEX(VehicleCostData!$N$13:$T$102,MATCH($B61,VehicleCostData!$A$13:$A$102,0),MATCH(V$5,VehicleCostData!$N$12:$T$12,0)),"")</f>
        <v>377.52060066848594</v>
      </c>
      <c r="W61" s="685">
        <f>IFERROR(0.001*INDEX(VehicleCostData!$V$13:$AB$102,MATCH($B61,VehicleCostData!$A$13:$A$102,0),MATCH(W$5,VehicleCostData!$V$12:$AB$12,0)),"")</f>
        <v>9.7475306047057231</v>
      </c>
      <c r="X61" s="685">
        <f>IFERROR(0.001*INDEX(VehicleCostData!$V$13:$AB$102,MATCH($B61,VehicleCostData!$A$13:$A$102,0),MATCH(X$5,VehicleCostData!$V$12:$AB$12,0)),"")</f>
        <v>10.035595798607295</v>
      </c>
      <c r="Y61" s="685">
        <f>IFERROR(0.001*INDEX(VehicleCostData!$V$13:$AB$102,MATCH($B61,VehicleCostData!$A$13:$A$102,0),MATCH(Y$5,VehicleCostData!$V$12:$AB$12,0)),"")</f>
        <v>10.146889230747686</v>
      </c>
      <c r="Z61" s="685">
        <f>IFERROR(0.001*INDEX(VehicleCostData!$V$13:$AB$102,MATCH($B61,VehicleCostData!$A$13:$A$102,0),MATCH(Z$5,VehicleCostData!$V$12:$AB$12,0)),"")</f>
        <v>10.19305621804912</v>
      </c>
      <c r="AA61" s="652">
        <v>20</v>
      </c>
      <c r="AB61" s="652">
        <v>20</v>
      </c>
      <c r="AC61" s="694">
        <f t="shared" si="0"/>
        <v>2018</v>
      </c>
      <c r="AD61" s="688">
        <v>1</v>
      </c>
    </row>
    <row r="62" spans="2:30" x14ac:dyDescent="0.25">
      <c r="B62" s="385" t="str">
        <f>IF(ITEMS_Tech_N!D62="","",ITEMS_Tech_N!D62)</f>
        <v>*</v>
      </c>
      <c r="C62" s="232" t="str">
        <f>IF(ITEMS_Tech_N!E62="","",ITEMS_Tech_N!E62)</f>
        <v>Transport Freight - LCV Oil Diesel Hybrid-N</v>
      </c>
      <c r="D62" s="219" t="s">
        <v>411</v>
      </c>
      <c r="E62" s="219" t="s">
        <v>276</v>
      </c>
      <c r="F62" s="377">
        <f>IFERROR(INDEX('EFF-N_ANTC'!$J$6:$N$96,MATCH($B62,'EFF-N_ANTC'!$A$6:$A$96,0),MATCH(F$5,'EFF-N_ANTC'!$J$5:$N$5,0)),"")</f>
        <v>0.23658855771912971</v>
      </c>
      <c r="G62" s="377">
        <f>IFERROR(INDEX('EFF-N_ANTC'!$J$6:$N$96,MATCH($B62,'EFF-N_ANTC'!$A$6:$A$96,0),MATCH(G$5,'EFF-N_ANTC'!$J$5:$N$5,0)),"")</f>
        <v>0.25508715046378805</v>
      </c>
      <c r="H62" s="377">
        <f>IFERROR(INDEX('EFF-N_ANTC'!$J$6:$N$96,MATCH($B62,'EFF-N_ANTC'!$A$6:$A$96,0),MATCH(H$5,'EFF-N_ANTC'!$J$5:$N$5,0)),"")</f>
        <v>0.28205684025891897</v>
      </c>
      <c r="I62" s="377">
        <f>IFERROR(INDEX('EFF-N_ANTC'!$J$6:$N$96,MATCH($B62,'EFF-N_ANTC'!$A$6:$A$96,0),MATCH(I$5,'EFF-N_ANTC'!$J$5:$N$5,0)),"")</f>
        <v>0.31187796402994067</v>
      </c>
      <c r="J62" s="652">
        <v>1</v>
      </c>
      <c r="K62" s="652">
        <v>1</v>
      </c>
      <c r="L62" s="652">
        <v>1</v>
      </c>
      <c r="M62" s="652">
        <v>1</v>
      </c>
      <c r="N62" s="652">
        <v>1</v>
      </c>
      <c r="O62" s="379">
        <f>IFERROR(INDEX('CapUnit-N_ANTC'!$C$6:$C$96,MATCH($B62,'CapUnit-N_ANTC'!$A$6:$A$96,0)),"")</f>
        <v>2.4E-2</v>
      </c>
      <c r="P62" s="684">
        <f>IFERROR(0.001*INDEX(VehicleCostData!$N$13:$T$102,MATCH($B62,VehicleCostData!$A$13:$A$102,0),MATCH(P$5,VehicleCostData!$N$12:$T$12,0)),"")</f>
        <v>531.43336858461009</v>
      </c>
      <c r="Q62" s="684">
        <f>IFERROR(0.001*INDEX(VehicleCostData!$N$13:$T$102,MATCH($B62,VehicleCostData!$A$13:$A$102,0),MATCH(Q$5,VehicleCostData!$N$12:$T$12,0)),"")</f>
        <v>540.08959568363241</v>
      </c>
      <c r="R62" s="684">
        <f>IFERROR(0.001*INDEX(VehicleCostData!$N$13:$T$102,MATCH($B62,VehicleCostData!$A$13:$A$102,0),MATCH(R$5,VehicleCostData!$N$12:$T$12,0)),"")</f>
        <v>548.74582278265507</v>
      </c>
      <c r="S62" s="684">
        <f>IFERROR(0.001*INDEX(VehicleCostData!$N$13:$T$102,MATCH($B62,VehicleCostData!$A$13:$A$102,0),MATCH(S$5,VehicleCostData!$N$12:$T$12,0)),"")</f>
        <v>554.77116992257743</v>
      </c>
      <c r="T62" s="684">
        <f>IFERROR(0.001*INDEX(VehicleCostData!$N$13:$T$102,MATCH($B62,VehicleCostData!$A$13:$A$102,0),MATCH(T$5,VehicleCostData!$N$12:$T$12,0)),"")</f>
        <v>560.7965170624999</v>
      </c>
      <c r="U62" s="684">
        <f>IFERROR(0.001*INDEX(VehicleCostData!$N$13:$T$102,MATCH($B62,VehicleCostData!$A$13:$A$102,0),MATCH(U$5,VehicleCostData!$N$12:$T$12,0)),"")</f>
        <v>564.26965287362793</v>
      </c>
      <c r="V62" s="684">
        <f>IFERROR(0.001*INDEX(VehicleCostData!$N$13:$T$102,MATCH($B62,VehicleCostData!$A$13:$A$102,0),MATCH(V$5,VehicleCostData!$N$12:$T$12,0)),"")</f>
        <v>567.74278868475642</v>
      </c>
      <c r="W62" s="685">
        <f>IFERROR(0.001*INDEX(VehicleCostData!$V$13:$AB$102,MATCH($B62,VehicleCostData!$A$13:$A$102,0),MATCH(W$5,VehicleCostData!$V$12:$AB$12,0)),"")</f>
        <v>14.348700951784471</v>
      </c>
      <c r="X62" s="685">
        <f>IFERROR(0.001*INDEX(VehicleCostData!$V$13:$AB$102,MATCH($B62,VehicleCostData!$A$13:$A$102,0),MATCH(X$5,VehicleCostData!$V$12:$AB$12,0)),"")</f>
        <v>14.816137215131684</v>
      </c>
      <c r="Y62" s="685">
        <f>IFERROR(0.001*INDEX(VehicleCostData!$V$13:$AB$102,MATCH($B62,VehicleCostData!$A$13:$A$102,0),MATCH(Y$5,VehicleCostData!$V$12:$AB$12,0)),"")</f>
        <v>15.141505960687496</v>
      </c>
      <c r="Z62" s="685">
        <f>IFERROR(0.001*INDEX(VehicleCostData!$V$13:$AB$102,MATCH($B62,VehicleCostData!$A$13:$A$102,0),MATCH(Z$5,VehicleCostData!$V$12:$AB$12,0)),"")</f>
        <v>15.329055294488422</v>
      </c>
      <c r="AA62" s="652">
        <v>20</v>
      </c>
      <c r="AB62" s="652">
        <v>20</v>
      </c>
      <c r="AC62" s="694">
        <f t="shared" si="0"/>
        <v>2080</v>
      </c>
      <c r="AD62" s="688">
        <v>3</v>
      </c>
    </row>
    <row r="63" spans="2:30" x14ac:dyDescent="0.25">
      <c r="B63" s="385" t="str">
        <f>IF(ITEMS_Tech_N!D63="","",ITEMS_Tech_N!D63)</f>
        <v>TFLCVOGS-N</v>
      </c>
      <c r="C63" s="232" t="str">
        <f>IF(ITEMS_Tech_N!E63="","",ITEMS_Tech_N!E63)</f>
        <v>Transport Freight - LCV Oil Gasoline-N</v>
      </c>
      <c r="D63" s="219" t="s">
        <v>413</v>
      </c>
      <c r="E63" s="219" t="s">
        <v>276</v>
      </c>
      <c r="F63" s="377">
        <f>IFERROR(INDEX('EFF-N_ANTC'!$J$6:$N$96,MATCH($B63,'EFF-N_ANTC'!$A$6:$A$96,0),MATCH(F$5,'EFF-N_ANTC'!$J$5:$N$5,0)),"")</f>
        <v>0.2068742400139009</v>
      </c>
      <c r="G63" s="377">
        <f>IFERROR(INDEX('EFF-N_ANTC'!$J$6:$N$96,MATCH($B63,'EFF-N_ANTC'!$A$6:$A$96,0),MATCH(G$5,'EFF-N_ANTC'!$J$5:$N$5,0)),"")</f>
        <v>0.21860421981084194</v>
      </c>
      <c r="H63" s="377">
        <f>IFERROR(INDEX('EFF-N_ANTC'!$J$6:$N$96,MATCH($B63,'EFF-N_ANTC'!$A$6:$A$96,0),MATCH(H$5,'EFF-N_ANTC'!$J$5:$N$5,0)),"")</f>
        <v>0.24171666583364532</v>
      </c>
      <c r="I63" s="377">
        <f>IFERROR(INDEX('EFF-N_ANTC'!$J$6:$N$96,MATCH($B63,'EFF-N_ANTC'!$A$6:$A$96,0),MATCH(I$5,'EFF-N_ANTC'!$J$5:$N$5,0)),"")</f>
        <v>0.26727272964945947</v>
      </c>
      <c r="J63" s="652">
        <v>1</v>
      </c>
      <c r="K63" s="652">
        <v>1</v>
      </c>
      <c r="L63" s="652">
        <v>1</v>
      </c>
      <c r="M63" s="652">
        <v>1</v>
      </c>
      <c r="N63" s="652">
        <v>1</v>
      </c>
      <c r="O63" s="379">
        <f>IFERROR(INDEX('CapUnit-N_ANTC'!$C$6:$C$96,MATCH($B63,'CapUnit-N_ANTC'!$A$6:$A$96,0)),"")</f>
        <v>3.4999999999999996E-2</v>
      </c>
      <c r="P63" s="684">
        <f>IFERROR(0.001*INDEX(VehicleCostData!$N$13:$T$102,MATCH($B63,VehicleCostData!$A$13:$A$102,0),MATCH(P$5,VehicleCostData!$N$12:$T$12,0)),"")</f>
        <v>321.21957088411284</v>
      </c>
      <c r="Q63" s="684">
        <f>IFERROR(0.001*INDEX(VehicleCostData!$N$13:$T$102,MATCH($B63,VehicleCostData!$A$13:$A$102,0),MATCH(Q$5,VehicleCostData!$N$12:$T$12,0)),"")</f>
        <v>328.39687602817338</v>
      </c>
      <c r="R63" s="684">
        <f>IFERROR(0.001*INDEX(VehicleCostData!$N$13:$T$102,MATCH($B63,VehicleCostData!$A$13:$A$102,0),MATCH(R$5,VehicleCostData!$N$12:$T$12,0)),"")</f>
        <v>330.7124549512879</v>
      </c>
      <c r="S63" s="684">
        <f>IFERROR(0.001*INDEX(VehicleCostData!$N$13:$T$102,MATCH($B63,VehicleCostData!$A$13:$A$102,0),MATCH(S$5,VehicleCostData!$N$12:$T$12,0)),"")</f>
        <v>332.5462336776198</v>
      </c>
      <c r="T63" s="684">
        <f>IFERROR(0.001*INDEX(VehicleCostData!$N$13:$T$102,MATCH($B63,VehicleCostData!$A$13:$A$102,0),MATCH(T$5,VehicleCostData!$N$12:$T$12,0)),"")</f>
        <v>334.3800124039517</v>
      </c>
      <c r="U63" s="684">
        <f>IFERROR(0.001*INDEX(VehicleCostData!$N$13:$T$102,MATCH($B63,VehicleCostData!$A$13:$A$102,0),MATCH(U$5,VehicleCostData!$N$12:$T$12,0)),"")</f>
        <v>335.14070454493452</v>
      </c>
      <c r="V63" s="684">
        <f>IFERROR(0.001*INDEX(VehicleCostData!$N$13:$T$102,MATCH($B63,VehicleCostData!$A$13:$A$102,0),MATCH(V$5,VehicleCostData!$N$12:$T$12,0)),"")</f>
        <v>335.90139668591735</v>
      </c>
      <c r="W63" s="685">
        <f>IFERROR(0.001*INDEX(VehicleCostData!$V$13:$AB$102,MATCH($B63,VehicleCostData!$A$13:$A$102,0),MATCH(W$5,VehicleCostData!$V$12:$AB$12,0)),"")</f>
        <v>8.6729284138710465</v>
      </c>
      <c r="X63" s="685">
        <f>IFERROR(0.001*INDEX(VehicleCostData!$V$13:$AB$102,MATCH($B63,VehicleCostData!$A$13:$A$102,0),MATCH(X$5,VehicleCostData!$V$12:$AB$12,0)),"")</f>
        <v>8.929236283684773</v>
      </c>
      <c r="Y63" s="685">
        <f>IFERROR(0.001*INDEX(VehicleCostData!$V$13:$AB$102,MATCH($B63,VehicleCostData!$A$13:$A$102,0),MATCH(Y$5,VehicleCostData!$V$12:$AB$12,0)),"")</f>
        <v>9.0282603349066957</v>
      </c>
      <c r="Z63" s="685">
        <f>IFERROR(0.001*INDEX(VehicleCostData!$V$13:$AB$102,MATCH($B63,VehicleCostData!$A$13:$A$102,0),MATCH(Z$5,VehicleCostData!$V$12:$AB$12,0)),"")</f>
        <v>9.0693377105197683</v>
      </c>
      <c r="AA63" s="652">
        <v>20</v>
      </c>
      <c r="AB63" s="652">
        <v>20</v>
      </c>
      <c r="AC63" s="694">
        <f t="shared" si="0"/>
        <v>2018</v>
      </c>
      <c r="AD63" s="688">
        <v>1</v>
      </c>
    </row>
    <row r="64" spans="2:30" x14ac:dyDescent="0.25">
      <c r="B64" s="385" t="str">
        <f>IF(ITEMS_Tech_N!D64="","",ITEMS_Tech_N!D64)</f>
        <v>TFLCVOGSH-N</v>
      </c>
      <c r="C64" s="232" t="str">
        <f>IF(ITEMS_Tech_N!E64="","",ITEMS_Tech_N!E64)</f>
        <v>Transport Freight - LCV Oil GasolineHybrid-N</v>
      </c>
      <c r="D64" s="219" t="s">
        <v>413</v>
      </c>
      <c r="E64" s="219" t="s">
        <v>276</v>
      </c>
      <c r="F64" s="377">
        <f>IFERROR(INDEX('EFF-N_ANTC'!$J$6:$N$96,MATCH($B64,'EFF-N_ANTC'!$A$6:$A$96,0),MATCH(F$5,'EFF-N_ANTC'!$J$5:$N$5,0)),"")</f>
        <v>0.54072830511139014</v>
      </c>
      <c r="G64" s="377">
        <f>IFERROR(INDEX('EFF-N_ANTC'!$J$6:$N$96,MATCH($B64,'EFF-N_ANTC'!$A$6:$A$96,0),MATCH(G$5,'EFF-N_ANTC'!$J$5:$N$5,0)),"")</f>
        <v>0.57138814992418352</v>
      </c>
      <c r="H64" s="377">
        <f>IFERROR(INDEX('EFF-N_ANTC'!$J$6:$N$96,MATCH($B64,'EFF-N_ANTC'!$A$6:$A$96,0),MATCH(H$5,'EFF-N_ANTC'!$J$5:$N$5,0)),"")</f>
        <v>0.63179950787792971</v>
      </c>
      <c r="I64" s="377">
        <f>IFERROR(INDEX('EFF-N_ANTC'!$J$6:$N$96,MATCH($B64,'EFF-N_ANTC'!$A$6:$A$96,0),MATCH(I$5,'EFF-N_ANTC'!$J$5:$N$5,0)),"")</f>
        <v>0.69859799893952912</v>
      </c>
      <c r="J64" s="652">
        <v>1</v>
      </c>
      <c r="K64" s="652">
        <v>1</v>
      </c>
      <c r="L64" s="652">
        <v>1</v>
      </c>
      <c r="M64" s="652">
        <v>1</v>
      </c>
      <c r="N64" s="652">
        <v>1</v>
      </c>
      <c r="O64" s="379">
        <f>IFERROR(INDEX('CapUnit-N_ANTC'!$C$6:$C$96,MATCH($B64,'CapUnit-N_ANTC'!$A$6:$A$96,0)),"")</f>
        <v>3.4999999999999996E-2</v>
      </c>
      <c r="P64" s="684">
        <f>IFERROR(0.001*INDEX(VehicleCostData!$N$13:$T$102,MATCH($B64,VehicleCostData!$A$13:$A$102,0),MATCH(P$5,VehicleCostData!$N$12:$T$12,0)),"")</f>
        <v>491.03953889037797</v>
      </c>
      <c r="Q64" s="684">
        <f>IFERROR(0.001*INDEX(VehicleCostData!$N$13:$T$102,MATCH($B64,VehicleCostData!$A$13:$A$102,0),MATCH(Q$5,VehicleCostData!$N$12:$T$12,0)),"")</f>
        <v>474.52840293729105</v>
      </c>
      <c r="R64" s="684">
        <f>IFERROR(0.001*INDEX(VehicleCostData!$N$13:$T$102,MATCH($B64,VehicleCostData!$A$13:$A$102,0),MATCH(R$5,VehicleCostData!$N$12:$T$12,0)),"")</f>
        <v>459.78577294312277</v>
      </c>
      <c r="S64" s="684">
        <f>IFERROR(0.001*INDEX(VehicleCostData!$N$13:$T$102,MATCH($B64,VehicleCostData!$A$13:$A$102,0),MATCH(S$5,VehicleCostData!$N$12:$T$12,0)),"")</f>
        <v>449.18950763481433</v>
      </c>
      <c r="T64" s="684">
        <f>IFERROR(0.001*INDEX(VehicleCostData!$N$13:$T$102,MATCH($B64,VehicleCostData!$A$13:$A$102,0),MATCH(T$5,VehicleCostData!$N$12:$T$12,0)),"")</f>
        <v>442.74285507974929</v>
      </c>
      <c r="U64" s="684">
        <f>IFERROR(0.001*INDEX(VehicleCostData!$N$13:$T$102,MATCH($B64,VehicleCostData!$A$13:$A$102,0),MATCH(U$5,VehicleCostData!$N$12:$T$12,0)),"")</f>
        <v>440.02177494046265</v>
      </c>
      <c r="V64" s="684">
        <f>IFERROR(0.001*INDEX(VehicleCostData!$N$13:$T$102,MATCH($B64,VehicleCostData!$A$13:$A$102,0),MATCH(V$5,VehicleCostData!$N$12:$T$12,0)),"")</f>
        <v>437.30069480117606</v>
      </c>
      <c r="W64" s="685">
        <f>IFERROR(0.001*INDEX(VehicleCostData!$V$13:$AB$102,MATCH($B64,VehicleCostData!$A$13:$A$102,0),MATCH(W$5,VehicleCostData!$V$12:$AB$12,0)),"")</f>
        <v>13.258067550040206</v>
      </c>
      <c r="X64" s="685">
        <f>IFERROR(0.001*INDEX(VehicleCostData!$V$13:$AB$102,MATCH($B64,VehicleCostData!$A$13:$A$102,0),MATCH(X$5,VehicleCostData!$V$12:$AB$12,0)),"")</f>
        <v>12.414215869464314</v>
      </c>
      <c r="Y64" s="685">
        <f>IFERROR(0.001*INDEX(VehicleCostData!$V$13:$AB$102,MATCH($B64,VehicleCostData!$A$13:$A$102,0),MATCH(Y$5,VehicleCostData!$V$12:$AB$12,0)),"")</f>
        <v>11.954057087153231</v>
      </c>
      <c r="Z64" s="685">
        <f>IFERROR(0.001*INDEX(VehicleCostData!$V$13:$AB$102,MATCH($B64,VehicleCostData!$A$13:$A$102,0),MATCH(Z$5,VehicleCostData!$V$12:$AB$12,0)),"")</f>
        <v>11.807118759631754</v>
      </c>
      <c r="AA64" s="652">
        <v>20</v>
      </c>
      <c r="AB64" s="652">
        <v>20</v>
      </c>
      <c r="AC64" s="694">
        <f t="shared" si="0"/>
        <v>2018</v>
      </c>
      <c r="AD64" s="688">
        <v>1</v>
      </c>
    </row>
    <row r="65" spans="2:30" x14ac:dyDescent="0.25">
      <c r="B65" s="385" t="str">
        <f>IF(ITEMS_Tech_N!D65="","",ITEMS_Tech_N!D65)</f>
        <v>*</v>
      </c>
      <c r="C65" s="232" t="str">
        <f>IF(ITEMS_Tech_N!E65="","",ITEMS_Tech_N!E65)</f>
        <v>Transport Freight - LCV Gas-N</v>
      </c>
      <c r="D65" s="219" t="s">
        <v>563</v>
      </c>
      <c r="E65" s="219" t="s">
        <v>276</v>
      </c>
      <c r="F65" s="377">
        <f>IFERROR(INDEX('EFF-N_ANTC'!$J$6:$N$96,MATCH($B65,'EFF-N_ANTC'!$A$6:$A$96,0),MATCH(F$5,'EFF-N_ANTC'!$J$5:$N$5,0)),"")</f>
        <v>0.23658855771912971</v>
      </c>
      <c r="G65" s="377">
        <f>IFERROR(INDEX('EFF-N_ANTC'!$J$6:$N$96,MATCH($B65,'EFF-N_ANTC'!$A$6:$A$96,0),MATCH(G$5,'EFF-N_ANTC'!$J$5:$N$5,0)),"")</f>
        <v>0.25508715046378805</v>
      </c>
      <c r="H65" s="377">
        <f>IFERROR(INDEX('EFF-N_ANTC'!$J$6:$N$96,MATCH($B65,'EFF-N_ANTC'!$A$6:$A$96,0),MATCH(H$5,'EFF-N_ANTC'!$J$5:$N$5,0)),"")</f>
        <v>0.28205684025891897</v>
      </c>
      <c r="I65" s="377">
        <f>IFERROR(INDEX('EFF-N_ANTC'!$J$6:$N$96,MATCH($B65,'EFF-N_ANTC'!$A$6:$A$96,0),MATCH(I$5,'EFF-N_ANTC'!$J$5:$N$5,0)),"")</f>
        <v>0.31187796402994067</v>
      </c>
      <c r="J65" s="652">
        <v>1</v>
      </c>
      <c r="K65" s="652">
        <v>1</v>
      </c>
      <c r="L65" s="652">
        <v>1</v>
      </c>
      <c r="M65" s="652">
        <v>1</v>
      </c>
      <c r="N65" s="652">
        <v>1</v>
      </c>
      <c r="O65" s="379">
        <f>IFERROR(INDEX('CapUnit-N_ANTC'!$C$6:$C$96,MATCH($B65,'CapUnit-N_ANTC'!$A$6:$A$96,0)),"")</f>
        <v>2.4E-2</v>
      </c>
      <c r="P65" s="684">
        <f>IFERROR(0.001*INDEX(VehicleCostData!$N$13:$T$102,MATCH($B65,VehicleCostData!$A$13:$A$102,0),MATCH(P$5,VehicleCostData!$N$12:$T$12,0)),"")</f>
        <v>531.43336858461009</v>
      </c>
      <c r="Q65" s="684">
        <f>IFERROR(0.001*INDEX(VehicleCostData!$N$13:$T$102,MATCH($B65,VehicleCostData!$A$13:$A$102,0),MATCH(Q$5,VehicleCostData!$N$12:$T$12,0)),"")</f>
        <v>540.08959568363241</v>
      </c>
      <c r="R65" s="684">
        <f>IFERROR(0.001*INDEX(VehicleCostData!$N$13:$T$102,MATCH($B65,VehicleCostData!$A$13:$A$102,0),MATCH(R$5,VehicleCostData!$N$12:$T$12,0)),"")</f>
        <v>548.74582278265507</v>
      </c>
      <c r="S65" s="684">
        <f>IFERROR(0.001*INDEX(VehicleCostData!$N$13:$T$102,MATCH($B65,VehicleCostData!$A$13:$A$102,0),MATCH(S$5,VehicleCostData!$N$12:$T$12,0)),"")</f>
        <v>554.77116992257743</v>
      </c>
      <c r="T65" s="684">
        <f>IFERROR(0.001*INDEX(VehicleCostData!$N$13:$T$102,MATCH($B65,VehicleCostData!$A$13:$A$102,0),MATCH(T$5,VehicleCostData!$N$12:$T$12,0)),"")</f>
        <v>560.7965170624999</v>
      </c>
      <c r="U65" s="684">
        <f>IFERROR(0.001*INDEX(VehicleCostData!$N$13:$T$102,MATCH($B65,VehicleCostData!$A$13:$A$102,0),MATCH(U$5,VehicleCostData!$N$12:$T$12,0)),"")</f>
        <v>564.26965287362793</v>
      </c>
      <c r="V65" s="684">
        <f>IFERROR(0.001*INDEX(VehicleCostData!$N$13:$T$102,MATCH($B65,VehicleCostData!$A$13:$A$102,0),MATCH(V$5,VehicleCostData!$N$12:$T$12,0)),"")</f>
        <v>567.74278868475642</v>
      </c>
      <c r="W65" s="685">
        <f>IFERROR(0.001*INDEX(VehicleCostData!$V$13:$AB$102,MATCH($B65,VehicleCostData!$A$13:$A$102,0),MATCH(W$5,VehicleCostData!$V$12:$AB$12,0)),"")</f>
        <v>14.348700951784471</v>
      </c>
      <c r="X65" s="685">
        <f>IFERROR(0.001*INDEX(VehicleCostData!$V$13:$AB$102,MATCH($B65,VehicleCostData!$A$13:$A$102,0),MATCH(X$5,VehicleCostData!$V$12:$AB$12,0)),"")</f>
        <v>14.816137215131684</v>
      </c>
      <c r="Y65" s="685">
        <f>IFERROR(0.001*INDEX(VehicleCostData!$V$13:$AB$102,MATCH($B65,VehicleCostData!$A$13:$A$102,0),MATCH(Y$5,VehicleCostData!$V$12:$AB$12,0)),"")</f>
        <v>15.141505960687496</v>
      </c>
      <c r="Z65" s="685">
        <f>IFERROR(0.001*INDEX(VehicleCostData!$V$13:$AB$102,MATCH($B65,VehicleCostData!$A$13:$A$102,0),MATCH(Z$5,VehicleCostData!$V$12:$AB$12,0)),"")</f>
        <v>15.329055294488422</v>
      </c>
      <c r="AA65" s="652">
        <v>20</v>
      </c>
      <c r="AB65" s="652">
        <v>20</v>
      </c>
      <c r="AC65" s="694">
        <f t="shared" si="0"/>
        <v>2080</v>
      </c>
      <c r="AD65" s="688">
        <v>3</v>
      </c>
    </row>
    <row r="66" spans="2:30" x14ac:dyDescent="0.25">
      <c r="B66" s="385" t="str">
        <f>IF(ITEMS_Tech_N!D66="","",ITEMS_Tech_N!D66)</f>
        <v>TFLCVELC-N</v>
      </c>
      <c r="C66" s="232" t="str">
        <f>IF(ITEMS_Tech_N!E66="","",ITEMS_Tech_N!E66)</f>
        <v>Transport Freight - LCV Electricity-N</v>
      </c>
      <c r="D66" s="219" t="s">
        <v>412</v>
      </c>
      <c r="E66" s="219" t="s">
        <v>276</v>
      </c>
      <c r="F66" s="377">
        <f>IFERROR(INDEX('EFF-N_ANTC'!$J$6:$N$96,MATCH($B66,'EFF-N_ANTC'!$A$6:$A$96,0),MATCH(F$5,'EFF-N_ANTC'!$J$5:$N$5,0)),"")</f>
        <v>1.5209691826429439</v>
      </c>
      <c r="G66" s="377">
        <f>IFERROR(INDEX('EFF-N_ANTC'!$J$6:$N$96,MATCH($B66,'EFF-N_ANTC'!$A$6:$A$96,0),MATCH(G$5,'EFF-N_ANTC'!$J$5:$N$5,0)),"")</f>
        <v>1.6072096821027744</v>
      </c>
      <c r="H66" s="377">
        <f>IFERROR(INDEX('EFF-N_ANTC'!$J$6:$N$96,MATCH($B66,'EFF-N_ANTC'!$A$6:$A$96,0),MATCH(H$5,'EFF-N_ANTC'!$J$5:$N$5,0)),"")</f>
        <v>1.7771357112392214</v>
      </c>
      <c r="I66" s="377">
        <f>IFERROR(INDEX('EFF-N_ANTC'!$J$6:$N$96,MATCH($B66,'EFF-N_ANTC'!$A$6:$A$96,0),MATCH(I$5,'EFF-N_ANTC'!$J$5:$N$5,0)),"")</f>
        <v>1.9650275700366138</v>
      </c>
      <c r="J66" s="652">
        <v>1</v>
      </c>
      <c r="K66" s="652">
        <v>1</v>
      </c>
      <c r="L66" s="652">
        <v>1</v>
      </c>
      <c r="M66" s="652">
        <v>1</v>
      </c>
      <c r="N66" s="652">
        <v>1</v>
      </c>
      <c r="O66" s="379">
        <f>IFERROR(INDEX('CapUnit-N_ANTC'!$C$6:$C$96,MATCH($B66,'CapUnit-N_ANTC'!$A$6:$A$96,0)),"")</f>
        <v>3.4999999999999996E-2</v>
      </c>
      <c r="P66" s="684">
        <f>IFERROR(0.001*INDEX(VehicleCostData!$N$13:$T$102,MATCH($B66,VehicleCostData!$A$13:$A$102,0),MATCH(P$5,VehicleCostData!$N$12:$T$12,0)),"")</f>
        <v>693.90866884754371</v>
      </c>
      <c r="Q66" s="684">
        <f>IFERROR(0.001*INDEX(VehicleCostData!$N$13:$T$102,MATCH($B66,VehicleCostData!$A$13:$A$102,0),MATCH(Q$5,VehicleCostData!$N$12:$T$12,0)),"")</f>
        <v>544.61198351626001</v>
      </c>
      <c r="R66" s="684">
        <f>IFERROR(0.001*INDEX(VehicleCostData!$N$13:$T$102,MATCH($B66,VehicleCostData!$A$13:$A$102,0),MATCH(R$5,VehicleCostData!$N$12:$T$12,0)),"")</f>
        <v>440.71119240864675</v>
      </c>
      <c r="S66" s="684">
        <f>IFERROR(0.001*INDEX(VehicleCostData!$N$13:$T$102,MATCH($B66,VehicleCostData!$A$13:$A$102,0),MATCH(S$5,VehicleCostData!$N$12:$T$12,0)),"")</f>
        <v>416.11715602758363</v>
      </c>
      <c r="T66" s="684">
        <f>IFERROR(0.001*INDEX(VehicleCostData!$N$13:$T$102,MATCH($B66,VehicleCostData!$A$13:$A$102,0),MATCH(T$5,VehicleCostData!$N$12:$T$12,0)),"")</f>
        <v>391.52311964652091</v>
      </c>
      <c r="U66" s="684">
        <f>IFERROR(0.001*INDEX(VehicleCostData!$N$13:$T$102,MATCH($B66,VehicleCostData!$A$13:$A$102,0),MATCH(U$5,VehicleCostData!$N$12:$T$12,0)),"")</f>
        <v>384.22073241900938</v>
      </c>
      <c r="V66" s="684">
        <f>IFERROR(0.001*INDEX(VehicleCostData!$N$13:$T$102,MATCH($B66,VehicleCostData!$A$13:$A$102,0),MATCH(V$5,VehicleCostData!$N$12:$T$12,0)),"")</f>
        <v>376.91834519149796</v>
      </c>
      <c r="W66" s="685">
        <f>IFERROR(0.001*INDEX(VehicleCostData!$V$13:$AB$102,MATCH($B66,VehicleCostData!$A$13:$A$102,0),MATCH(W$5,VehicleCostData!$V$12:$AB$12,0)),"")</f>
        <v>13.184264708103328</v>
      </c>
      <c r="X66" s="685">
        <f>IFERROR(0.001*INDEX(VehicleCostData!$V$13:$AB$102,MATCH($B66,VehicleCostData!$A$13:$A$102,0),MATCH(X$5,VehicleCostData!$V$12:$AB$12,0)),"")</f>
        <v>8.3735126557642889</v>
      </c>
      <c r="Y66" s="685">
        <f>IFERROR(0.001*INDEX(VehicleCostData!$V$13:$AB$102,MATCH($B66,VehicleCostData!$A$13:$A$102,0),MATCH(Y$5,VehicleCostData!$V$12:$AB$12,0)),"")</f>
        <v>7.4389392732838973</v>
      </c>
      <c r="Z66" s="685">
        <f>IFERROR(0.001*INDEX(VehicleCostData!$V$13:$AB$102,MATCH($B66,VehicleCostData!$A$13:$A$102,0),MATCH(Z$5,VehicleCostData!$V$12:$AB$12,0)),"")</f>
        <v>7.1614485586384609</v>
      </c>
      <c r="AA66" s="652">
        <v>20</v>
      </c>
      <c r="AB66" s="652">
        <v>20</v>
      </c>
      <c r="AC66" s="694">
        <f t="shared" si="0"/>
        <v>2018</v>
      </c>
      <c r="AD66" s="688">
        <v>1</v>
      </c>
    </row>
    <row r="67" spans="2:30" x14ac:dyDescent="0.25">
      <c r="B67" s="385" t="str">
        <f>IF(ITEMS_Tech_N!D67="","",ITEMS_Tech_N!D67)</f>
        <v>*</v>
      </c>
      <c r="C67" s="232" t="str">
        <f>IF(ITEMS_Tech_N!E67="","",ITEMS_Tech_N!E67)</f>
        <v/>
      </c>
      <c r="D67" s="219"/>
      <c r="E67" s="219"/>
      <c r="F67" s="377">
        <f>IFERROR(INDEX('EFF-N_ANTC'!$J$6:$N$96,MATCH($B67,'EFF-N_ANTC'!$A$6:$A$96,0),MATCH(F$5,'EFF-N_ANTC'!$J$5:$N$5,0)),"")</f>
        <v>0.23658855771912971</v>
      </c>
      <c r="G67" s="377">
        <f>IFERROR(INDEX('EFF-N_ANTC'!$J$6:$N$96,MATCH($B67,'EFF-N_ANTC'!$A$6:$A$96,0),MATCH(G$5,'EFF-N_ANTC'!$J$5:$N$5,0)),"")</f>
        <v>0.25508715046378805</v>
      </c>
      <c r="H67" s="377">
        <f>IFERROR(INDEX('EFF-N_ANTC'!$J$6:$N$96,MATCH($B67,'EFF-N_ANTC'!$A$6:$A$96,0),MATCH(H$5,'EFF-N_ANTC'!$J$5:$N$5,0)),"")</f>
        <v>0.28205684025891897</v>
      </c>
      <c r="I67" s="377">
        <f>IFERROR(INDEX('EFF-N_ANTC'!$J$6:$N$96,MATCH($B67,'EFF-N_ANTC'!$A$6:$A$96,0),MATCH(I$5,'EFF-N_ANTC'!$J$5:$N$5,0)),"")</f>
        <v>0.31187796402994067</v>
      </c>
      <c r="J67" s="379"/>
      <c r="K67" s="379"/>
      <c r="L67" s="379"/>
      <c r="M67" s="379"/>
      <c r="N67" s="379"/>
      <c r="O67" s="379">
        <f>IFERROR(INDEX('CapUnit-N_ANTC'!$C$6:$C$96,MATCH($B67,'CapUnit-N_ANTC'!$A$6:$A$96,0)),"")</f>
        <v>2.4E-2</v>
      </c>
      <c r="P67" s="684">
        <f>IFERROR(0.001*INDEX(VehicleCostData!$N$13:$T$102,MATCH($B67,VehicleCostData!$A$13:$A$102,0),MATCH(P$5,VehicleCostData!$N$12:$T$12,0)),"")</f>
        <v>531.43336858461009</v>
      </c>
      <c r="Q67" s="684">
        <f>IFERROR(0.001*INDEX(VehicleCostData!$N$13:$T$102,MATCH($B67,VehicleCostData!$A$13:$A$102,0),MATCH(Q$5,VehicleCostData!$N$12:$T$12,0)),"")</f>
        <v>540.08959568363241</v>
      </c>
      <c r="R67" s="684">
        <f>IFERROR(0.001*INDEX(VehicleCostData!$N$13:$T$102,MATCH($B67,VehicleCostData!$A$13:$A$102,0),MATCH(R$5,VehicleCostData!$N$12:$T$12,0)),"")</f>
        <v>548.74582278265507</v>
      </c>
      <c r="S67" s="684">
        <f>IFERROR(0.001*INDEX(VehicleCostData!$N$13:$T$102,MATCH($B67,VehicleCostData!$A$13:$A$102,0),MATCH(S$5,VehicleCostData!$N$12:$T$12,0)),"")</f>
        <v>554.77116992257743</v>
      </c>
      <c r="T67" s="684">
        <f>IFERROR(0.001*INDEX(VehicleCostData!$N$13:$T$102,MATCH($B67,VehicleCostData!$A$13:$A$102,0),MATCH(T$5,VehicleCostData!$N$12:$T$12,0)),"")</f>
        <v>560.7965170624999</v>
      </c>
      <c r="U67" s="684">
        <f>IFERROR(0.001*INDEX(VehicleCostData!$N$13:$T$102,MATCH($B67,VehicleCostData!$A$13:$A$102,0),MATCH(U$5,VehicleCostData!$N$12:$T$12,0)),"")</f>
        <v>564.26965287362793</v>
      </c>
      <c r="V67" s="684">
        <f>IFERROR(0.001*INDEX(VehicleCostData!$N$13:$T$102,MATCH($B67,VehicleCostData!$A$13:$A$102,0),MATCH(V$5,VehicleCostData!$N$12:$T$12,0)),"")</f>
        <v>567.74278868475642</v>
      </c>
      <c r="W67" s="685">
        <f>IFERROR(0.001*INDEX(VehicleCostData!$V$13:$AB$102,MATCH($B67,VehicleCostData!$A$13:$A$102,0),MATCH(W$5,VehicleCostData!$V$12:$AB$12,0)),"")</f>
        <v>14.348700951784471</v>
      </c>
      <c r="X67" s="685">
        <f>IFERROR(0.001*INDEX(VehicleCostData!$V$13:$AB$102,MATCH($B67,VehicleCostData!$A$13:$A$102,0),MATCH(X$5,VehicleCostData!$V$12:$AB$12,0)),"")</f>
        <v>14.816137215131684</v>
      </c>
      <c r="Y67" s="685">
        <f>IFERROR(0.001*INDEX(VehicleCostData!$V$13:$AB$102,MATCH($B67,VehicleCostData!$A$13:$A$102,0),MATCH(Y$5,VehicleCostData!$V$12:$AB$12,0)),"")</f>
        <v>15.141505960687496</v>
      </c>
      <c r="Z67" s="685">
        <f>IFERROR(0.001*INDEX(VehicleCostData!$V$13:$AB$102,MATCH($B67,VehicleCostData!$A$13:$A$102,0),MATCH(Z$5,VehicleCostData!$V$12:$AB$12,0)),"")</f>
        <v>15.329055294488422</v>
      </c>
      <c r="AA67" s="686" t="s">
        <v>504</v>
      </c>
      <c r="AB67" s="686" t="s">
        <v>504</v>
      </c>
      <c r="AC67" s="694" t="str">
        <f t="shared" si="0"/>
        <v/>
      </c>
      <c r="AD67" s="689"/>
    </row>
    <row r="68" spans="2:30" x14ac:dyDescent="0.25">
      <c r="B68" s="385" t="str">
        <f>IF(ITEMS_Tech_N!D68="","",ITEMS_Tech_N!D68)</f>
        <v>*</v>
      </c>
      <c r="C68" s="232" t="str">
        <f>IF(ITEMS_Tech_N!E68="","",ITEMS_Tech_N!E68)</f>
        <v>Freight HCVs</v>
      </c>
      <c r="D68" s="219"/>
      <c r="E68" s="219"/>
      <c r="F68" s="377">
        <f>IFERROR(INDEX('EFF-N_ANTC'!$J$6:$N$96,MATCH($B68,'EFF-N_ANTC'!$A$6:$A$96,0),MATCH(F$5,'EFF-N_ANTC'!$J$5:$N$5,0)),"")</f>
        <v>0.23658855771912971</v>
      </c>
      <c r="G68" s="377">
        <f>IFERROR(INDEX('EFF-N_ANTC'!$J$6:$N$96,MATCH($B68,'EFF-N_ANTC'!$A$6:$A$96,0),MATCH(G$5,'EFF-N_ANTC'!$J$5:$N$5,0)),"")</f>
        <v>0.25508715046378805</v>
      </c>
      <c r="H68" s="377">
        <f>IFERROR(INDEX('EFF-N_ANTC'!$J$6:$N$96,MATCH($B68,'EFF-N_ANTC'!$A$6:$A$96,0),MATCH(H$5,'EFF-N_ANTC'!$J$5:$N$5,0)),"")</f>
        <v>0.28205684025891897</v>
      </c>
      <c r="I68" s="377">
        <f>IFERROR(INDEX('EFF-N_ANTC'!$J$6:$N$96,MATCH($B68,'EFF-N_ANTC'!$A$6:$A$96,0),MATCH(I$5,'EFF-N_ANTC'!$J$5:$N$5,0)),"")</f>
        <v>0.31187796402994067</v>
      </c>
      <c r="J68" s="379"/>
      <c r="K68" s="379"/>
      <c r="L68" s="379"/>
      <c r="M68" s="379"/>
      <c r="N68" s="379"/>
      <c r="O68" s="379">
        <f>IFERROR(INDEX('CapUnit-N_ANTC'!$C$6:$C$96,MATCH($B68,'CapUnit-N_ANTC'!$A$6:$A$96,0)),"")</f>
        <v>2.4E-2</v>
      </c>
      <c r="P68" s="684">
        <f>IFERROR(0.001*INDEX(VehicleCostData!$N$13:$T$102,MATCH($B68,VehicleCostData!$A$13:$A$102,0),MATCH(P$5,VehicleCostData!$N$12:$T$12,0)),"")</f>
        <v>531.43336858461009</v>
      </c>
      <c r="Q68" s="684">
        <f>IFERROR(0.001*INDEX(VehicleCostData!$N$13:$T$102,MATCH($B68,VehicleCostData!$A$13:$A$102,0),MATCH(Q$5,VehicleCostData!$N$12:$T$12,0)),"")</f>
        <v>540.08959568363241</v>
      </c>
      <c r="R68" s="684">
        <f>IFERROR(0.001*INDEX(VehicleCostData!$N$13:$T$102,MATCH($B68,VehicleCostData!$A$13:$A$102,0),MATCH(R$5,VehicleCostData!$N$12:$T$12,0)),"")</f>
        <v>548.74582278265507</v>
      </c>
      <c r="S68" s="684">
        <f>IFERROR(0.001*INDEX(VehicleCostData!$N$13:$T$102,MATCH($B68,VehicleCostData!$A$13:$A$102,0),MATCH(S$5,VehicleCostData!$N$12:$T$12,0)),"")</f>
        <v>554.77116992257743</v>
      </c>
      <c r="T68" s="684">
        <f>IFERROR(0.001*INDEX(VehicleCostData!$N$13:$T$102,MATCH($B68,VehicleCostData!$A$13:$A$102,0),MATCH(T$5,VehicleCostData!$N$12:$T$12,0)),"")</f>
        <v>560.7965170624999</v>
      </c>
      <c r="U68" s="684">
        <f>IFERROR(0.001*INDEX(VehicleCostData!$N$13:$T$102,MATCH($B68,VehicleCostData!$A$13:$A$102,0),MATCH(U$5,VehicleCostData!$N$12:$T$12,0)),"")</f>
        <v>564.26965287362793</v>
      </c>
      <c r="V68" s="684">
        <f>IFERROR(0.001*INDEX(VehicleCostData!$N$13:$T$102,MATCH($B68,VehicleCostData!$A$13:$A$102,0),MATCH(V$5,VehicleCostData!$N$12:$T$12,0)),"")</f>
        <v>567.74278868475642</v>
      </c>
      <c r="W68" s="685">
        <f>IFERROR(0.001*INDEX(VehicleCostData!$V$13:$AB$102,MATCH($B68,VehicleCostData!$A$13:$A$102,0),MATCH(W$5,VehicleCostData!$V$12:$AB$12,0)),"")</f>
        <v>14.348700951784471</v>
      </c>
      <c r="X68" s="685">
        <f>IFERROR(0.001*INDEX(VehicleCostData!$V$13:$AB$102,MATCH($B68,VehicleCostData!$A$13:$A$102,0),MATCH(X$5,VehicleCostData!$V$12:$AB$12,0)),"")</f>
        <v>14.816137215131684</v>
      </c>
      <c r="Y68" s="685">
        <f>IFERROR(0.001*INDEX(VehicleCostData!$V$13:$AB$102,MATCH($B68,VehicleCostData!$A$13:$A$102,0),MATCH(Y$5,VehicleCostData!$V$12:$AB$12,0)),"")</f>
        <v>15.141505960687496</v>
      </c>
      <c r="Z68" s="685">
        <f>IFERROR(0.001*INDEX(VehicleCostData!$V$13:$AB$102,MATCH($B68,VehicleCostData!$A$13:$A$102,0),MATCH(Z$5,VehicleCostData!$V$12:$AB$12,0)),"")</f>
        <v>15.329055294488422</v>
      </c>
      <c r="AA68" s="686" t="s">
        <v>504</v>
      </c>
      <c r="AB68" s="686" t="s">
        <v>504</v>
      </c>
      <c r="AC68" s="694" t="str">
        <f t="shared" si="0"/>
        <v/>
      </c>
      <c r="AD68" s="689"/>
    </row>
    <row r="69" spans="2:30" x14ac:dyDescent="0.25">
      <c r="B69" s="385" t="str">
        <f>IF(ITEMS_Tech_N!D69="","",ITEMS_Tech_N!D69)</f>
        <v>TFHCV1ODS-N</v>
      </c>
      <c r="C69" s="232" t="str">
        <f>IF(ITEMS_Tech_N!E69="","",ITEMS_Tech_N!E69)</f>
        <v>Transport Freight - HCV1 Oil Diesel-N</v>
      </c>
      <c r="D69" s="219" t="s">
        <v>411</v>
      </c>
      <c r="E69" s="219" t="s">
        <v>253</v>
      </c>
      <c r="F69" s="377">
        <f>IFERROR(INDEX('EFF-N_ANTC'!$J$6:$N$96,MATCH($B69,'EFF-N_ANTC'!$A$6:$A$96,0),MATCH(F$5,'EFF-N_ANTC'!$J$5:$N$5,0)),"")</f>
        <v>0.17083617224509673</v>
      </c>
      <c r="G69" s="377">
        <f>IFERROR(INDEX('EFF-N_ANTC'!$J$6:$N$96,MATCH($B69,'EFF-N_ANTC'!$A$6:$A$96,0),MATCH(G$5,'EFF-N_ANTC'!$J$5:$N$5,0)),"")</f>
        <v>0.18052275694934541</v>
      </c>
      <c r="H69" s="377">
        <f>IFERROR(INDEX('EFF-N_ANTC'!$J$6:$N$96,MATCH($B69,'EFF-N_ANTC'!$A$6:$A$96,0),MATCH(H$5,'EFF-N_ANTC'!$J$5:$N$5,0)),"")</f>
        <v>0.19960895061701436</v>
      </c>
      <c r="I69" s="377">
        <f>IFERROR(INDEX('EFF-N_ANTC'!$J$6:$N$96,MATCH($B69,'EFF-N_ANTC'!$A$6:$A$96,0),MATCH(I$5,'EFF-N_ANTC'!$J$5:$N$5,0)),"")</f>
        <v>0.22071307706432722</v>
      </c>
      <c r="J69" s="652">
        <v>1</v>
      </c>
      <c r="K69" s="652">
        <v>1</v>
      </c>
      <c r="L69" s="652">
        <v>1</v>
      </c>
      <c r="M69" s="652">
        <v>1</v>
      </c>
      <c r="N69" s="652">
        <v>1</v>
      </c>
      <c r="O69" s="379">
        <f>IFERROR(INDEX('CapUnit-N_ANTC'!$C$6:$C$96,MATCH($B69,'CapUnit-N_ANTC'!$A$6:$A$96,0)),"")</f>
        <v>5.5E-2</v>
      </c>
      <c r="P69" s="684">
        <f>IFERROR(0.001*INDEX(VehicleCostData!$N$13:$T$102,MATCH($B69,VehicleCostData!$A$13:$A$102,0),MATCH(P$5,VehicleCostData!$N$12:$T$12,0)),"")</f>
        <v>434.41841905054338</v>
      </c>
      <c r="Q69" s="684">
        <f>IFERROR(0.001*INDEX(VehicleCostData!$N$13:$T$102,MATCH($B69,VehicleCostData!$A$13:$A$102,0),MATCH(Q$5,VehicleCostData!$N$12:$T$12,0)),"")</f>
        <v>444.12503046635584</v>
      </c>
      <c r="R69" s="684">
        <f>IFERROR(0.001*INDEX(VehicleCostData!$N$13:$T$102,MATCH($B69,VehicleCostData!$A$13:$A$102,0),MATCH(R$5,VehicleCostData!$N$12:$T$12,0)),"")</f>
        <v>447.25662712529379</v>
      </c>
      <c r="S69" s="684">
        <f>IFERROR(0.001*INDEX(VehicleCostData!$N$13:$T$102,MATCH($B69,VehicleCostData!$A$13:$A$102,0),MATCH(S$5,VehicleCostData!$N$12:$T$12,0)),"")</f>
        <v>449.73663559111981</v>
      </c>
      <c r="T69" s="684">
        <f>IFERROR(0.001*INDEX(VehicleCostData!$N$13:$T$102,MATCH($B69,VehicleCostData!$A$13:$A$102,0),MATCH(T$5,VehicleCostData!$N$12:$T$12,0)),"")</f>
        <v>452.21664405694594</v>
      </c>
      <c r="U69" s="684">
        <f>IFERROR(0.001*INDEX(VehicleCostData!$N$13:$T$102,MATCH($B69,VehicleCostData!$A$13:$A$102,0),MATCH(U$5,VehicleCostData!$N$12:$T$12,0)),"")</f>
        <v>453.2454066456026</v>
      </c>
      <c r="V69" s="684">
        <f>IFERROR(0.001*INDEX(VehicleCostData!$N$13:$T$102,MATCH($B69,VehicleCostData!$A$13:$A$102,0),MATCH(V$5,VehicleCostData!$N$12:$T$12,0)),"")</f>
        <v>454.27416923425938</v>
      </c>
      <c r="W69" s="685">
        <f>IFERROR(0.001*INDEX(VehicleCostData!$V$13:$AB$102,MATCH($B69,VehicleCostData!$A$13:$A$102,0),MATCH(W$5,VehicleCostData!$V$12:$AB$12,0)),"")</f>
        <v>11.729297314364672</v>
      </c>
      <c r="X69" s="685">
        <f>IFERROR(0.001*INDEX(VehicleCostData!$V$13:$AB$102,MATCH($B69,VehicleCostData!$A$13:$A$102,0),MATCH(X$5,VehicleCostData!$V$12:$AB$12,0)),"")</f>
        <v>12.075928932382933</v>
      </c>
      <c r="Y69" s="685">
        <f>IFERROR(0.001*INDEX(VehicleCostData!$V$13:$AB$102,MATCH($B69,VehicleCostData!$A$13:$A$102,0),MATCH(Y$5,VehicleCostData!$V$12:$AB$12,0)),"")</f>
        <v>12.20984938953754</v>
      </c>
      <c r="Z69" s="685">
        <f>IFERROR(0.001*INDEX(VehicleCostData!$V$13:$AB$102,MATCH($B69,VehicleCostData!$A$13:$A$102,0),MATCH(Z$5,VehicleCostData!$V$12:$AB$12,0)),"")</f>
        <v>12.265402569325003</v>
      </c>
      <c r="AA69" s="652">
        <v>20</v>
      </c>
      <c r="AB69" s="652">
        <v>20</v>
      </c>
      <c r="AC69" s="694">
        <f t="shared" si="0"/>
        <v>2018</v>
      </c>
      <c r="AD69" s="688">
        <v>1</v>
      </c>
    </row>
    <row r="70" spans="2:30" x14ac:dyDescent="0.25">
      <c r="B70" s="385" t="str">
        <f>IF(ITEMS_Tech_N!D70="","",ITEMS_Tech_N!D70)</f>
        <v>TFHCV1OGS-N</v>
      </c>
      <c r="C70" s="232" t="str">
        <f>IF(ITEMS_Tech_N!E70="","",ITEMS_Tech_N!E70)</f>
        <v>Transport Freight - HCV1 Oil Gasoline-N</v>
      </c>
      <c r="D70" s="219" t="s">
        <v>413</v>
      </c>
      <c r="E70" s="219" t="s">
        <v>253</v>
      </c>
      <c r="F70" s="377">
        <f>IFERROR(INDEX('EFF-N_ANTC'!$J$6:$N$96,MATCH($B70,'EFF-N_ANTC'!$A$6:$A$96,0),MATCH(F$5,'EFF-N_ANTC'!$J$5:$N$5,0)),"")</f>
        <v>0.14941214043820444</v>
      </c>
      <c r="G70" s="377">
        <f>IFERROR(INDEX('EFF-N_ANTC'!$J$6:$N$96,MATCH($B70,'EFF-N_ANTC'!$A$6:$A$96,0),MATCH(G$5,'EFF-N_ANTC'!$J$5:$N$5,0)),"")</f>
        <v>0.15788396075106742</v>
      </c>
      <c r="H70" s="377">
        <f>IFERROR(INDEX('EFF-N_ANTC'!$J$6:$N$96,MATCH($B70,'EFF-N_ANTC'!$A$6:$A$96,0),MATCH(H$5,'EFF-N_ANTC'!$J$5:$N$5,0)),"")</f>
        <v>0.17457661436902142</v>
      </c>
      <c r="I70" s="377">
        <f>IFERROR(INDEX('EFF-N_ANTC'!$J$6:$N$96,MATCH($B70,'EFF-N_ANTC'!$A$6:$A$96,0),MATCH(I$5,'EFF-N_ANTC'!$J$5:$N$5,0)),"")</f>
        <v>0.19303413810730588</v>
      </c>
      <c r="J70" s="652">
        <v>1</v>
      </c>
      <c r="K70" s="652">
        <v>1</v>
      </c>
      <c r="L70" s="652">
        <v>1</v>
      </c>
      <c r="M70" s="652">
        <v>1</v>
      </c>
      <c r="N70" s="652">
        <v>1</v>
      </c>
      <c r="O70" s="379">
        <f>IFERROR(INDEX('CapUnit-N_ANTC'!$C$6:$C$96,MATCH($B70,'CapUnit-N_ANTC'!$A$6:$A$96,0)),"")</f>
        <v>4.8000000000000001E-2</v>
      </c>
      <c r="P70" s="684">
        <f>IFERROR(0.001*INDEX(VehicleCostData!$N$13:$T$102,MATCH($B70,VehicleCostData!$A$13:$A$102,0),MATCH(P$5,VehicleCostData!$N$12:$T$12,0)),"")</f>
        <v>434.41841905054338</v>
      </c>
      <c r="Q70" s="684">
        <f>IFERROR(0.001*INDEX(VehicleCostData!$N$13:$T$102,MATCH($B70,VehicleCostData!$A$13:$A$102,0),MATCH(Q$5,VehicleCostData!$N$12:$T$12,0)),"")</f>
        <v>444.12503046635584</v>
      </c>
      <c r="R70" s="684">
        <f>IFERROR(0.001*INDEX(VehicleCostData!$N$13:$T$102,MATCH($B70,VehicleCostData!$A$13:$A$102,0),MATCH(R$5,VehicleCostData!$N$12:$T$12,0)),"")</f>
        <v>447.25662712529379</v>
      </c>
      <c r="S70" s="684">
        <f>IFERROR(0.001*INDEX(VehicleCostData!$N$13:$T$102,MATCH($B70,VehicleCostData!$A$13:$A$102,0),MATCH(S$5,VehicleCostData!$N$12:$T$12,0)),"")</f>
        <v>449.73663559111981</v>
      </c>
      <c r="T70" s="684">
        <f>IFERROR(0.001*INDEX(VehicleCostData!$N$13:$T$102,MATCH($B70,VehicleCostData!$A$13:$A$102,0),MATCH(T$5,VehicleCostData!$N$12:$T$12,0)),"")</f>
        <v>452.21664405694594</v>
      </c>
      <c r="U70" s="684">
        <f>IFERROR(0.001*INDEX(VehicleCostData!$N$13:$T$102,MATCH($B70,VehicleCostData!$A$13:$A$102,0),MATCH(U$5,VehicleCostData!$N$12:$T$12,0)),"")</f>
        <v>453.2454066456026</v>
      </c>
      <c r="V70" s="684">
        <f>IFERROR(0.001*INDEX(VehicleCostData!$N$13:$T$102,MATCH($B70,VehicleCostData!$A$13:$A$102,0),MATCH(V$5,VehicleCostData!$N$12:$T$12,0)),"")</f>
        <v>454.27416923425938</v>
      </c>
      <c r="W70" s="685">
        <f>IFERROR(0.001*INDEX(VehicleCostData!$V$13:$AB$102,MATCH($B70,VehicleCostData!$A$13:$A$102,0),MATCH(W$5,VehicleCostData!$V$12:$AB$12,0)),"")</f>
        <v>11.729297314364672</v>
      </c>
      <c r="X70" s="685">
        <f>IFERROR(0.001*INDEX(VehicleCostData!$V$13:$AB$102,MATCH($B70,VehicleCostData!$A$13:$A$102,0),MATCH(X$5,VehicleCostData!$V$12:$AB$12,0)),"")</f>
        <v>12.075928932382933</v>
      </c>
      <c r="Y70" s="685">
        <f>IFERROR(0.001*INDEX(VehicleCostData!$V$13:$AB$102,MATCH($B70,VehicleCostData!$A$13:$A$102,0),MATCH(Y$5,VehicleCostData!$V$12:$AB$12,0)),"")</f>
        <v>12.20984938953754</v>
      </c>
      <c r="Z70" s="685">
        <f>IFERROR(0.001*INDEX(VehicleCostData!$V$13:$AB$102,MATCH($B70,VehicleCostData!$A$13:$A$102,0),MATCH(Z$5,VehicleCostData!$V$12:$AB$12,0)),"")</f>
        <v>12.265402569325003</v>
      </c>
      <c r="AA70" s="652">
        <v>20</v>
      </c>
      <c r="AB70" s="652">
        <v>20</v>
      </c>
      <c r="AC70" s="694">
        <f t="shared" si="0"/>
        <v>2018</v>
      </c>
      <c r="AD70" s="688">
        <v>1</v>
      </c>
    </row>
    <row r="71" spans="2:30" x14ac:dyDescent="0.25">
      <c r="B71" s="385" t="str">
        <f>IF(ITEMS_Tech_N!D71="","",ITEMS_Tech_N!D71)</f>
        <v>TFHCV2ODS-N</v>
      </c>
      <c r="C71" s="232" t="str">
        <f>IF(ITEMS_Tech_N!E71="","",ITEMS_Tech_N!E71)</f>
        <v>Transport Freight - HCV2 Oil Diesel-N</v>
      </c>
      <c r="D71" s="219" t="s">
        <v>411</v>
      </c>
      <c r="E71" s="219" t="s">
        <v>259</v>
      </c>
      <c r="F71" s="377">
        <f>IFERROR(INDEX('EFF-N_ANTC'!$J$6:$N$96,MATCH($B71,'EFF-N_ANTC'!$A$6:$A$96,0),MATCH(F$5,'EFF-N_ANTC'!$J$5:$N$5,0)),"")</f>
        <v>0.13684194378774683</v>
      </c>
      <c r="G71" s="377">
        <f>IFERROR(INDEX('EFF-N_ANTC'!$J$6:$N$96,MATCH($B71,'EFF-N_ANTC'!$A$6:$A$96,0),MATCH(G$5,'EFF-N_ANTC'!$J$5:$N$5,0)),"")</f>
        <v>0.14460102116681806</v>
      </c>
      <c r="H71" s="377">
        <f>IFERROR(INDEX('EFF-N_ANTC'!$J$6:$N$96,MATCH($B71,'EFF-N_ANTC'!$A$6:$A$96,0),MATCH(H$5,'EFF-N_ANTC'!$J$5:$N$5,0)),"")</f>
        <v>0.15988930471162904</v>
      </c>
      <c r="I71" s="377">
        <f>IFERROR(INDEX('EFF-N_ANTC'!$J$6:$N$96,MATCH($B71,'EFF-N_ANTC'!$A$6:$A$96,0),MATCH(I$5,'EFF-N_ANTC'!$J$5:$N$5,0)),"")</f>
        <v>0.17679397804304392</v>
      </c>
      <c r="J71" s="652">
        <v>1</v>
      </c>
      <c r="K71" s="652">
        <v>1</v>
      </c>
      <c r="L71" s="652">
        <v>1</v>
      </c>
      <c r="M71" s="652">
        <v>1</v>
      </c>
      <c r="N71" s="652">
        <v>1</v>
      </c>
      <c r="O71" s="379">
        <f>IFERROR(INDEX('CapUnit-N_ANTC'!$C$6:$C$96,MATCH($B71,'CapUnit-N_ANTC'!$A$6:$A$96,0)),"")</f>
        <v>4.8000000000000001E-2</v>
      </c>
      <c r="P71" s="684">
        <f>IFERROR(0.001*INDEX(VehicleCostData!$N$13:$T$102,MATCH($B71,VehicleCostData!$A$13:$A$102,0),MATCH(P$5,VehicleCostData!$N$12:$T$12,0)),"")</f>
        <v>434.41841905054338</v>
      </c>
      <c r="Q71" s="684">
        <f>IFERROR(0.001*INDEX(VehicleCostData!$N$13:$T$102,MATCH($B71,VehicleCostData!$A$13:$A$102,0),MATCH(Q$5,VehicleCostData!$N$12:$T$12,0)),"")</f>
        <v>444.12503046635584</v>
      </c>
      <c r="R71" s="684">
        <f>IFERROR(0.001*INDEX(VehicleCostData!$N$13:$T$102,MATCH($B71,VehicleCostData!$A$13:$A$102,0),MATCH(R$5,VehicleCostData!$N$12:$T$12,0)),"")</f>
        <v>447.25662712529379</v>
      </c>
      <c r="S71" s="684">
        <f>IFERROR(0.001*INDEX(VehicleCostData!$N$13:$T$102,MATCH($B71,VehicleCostData!$A$13:$A$102,0),MATCH(S$5,VehicleCostData!$N$12:$T$12,0)),"")</f>
        <v>449.73663559111981</v>
      </c>
      <c r="T71" s="684">
        <f>IFERROR(0.001*INDEX(VehicleCostData!$N$13:$T$102,MATCH($B71,VehicleCostData!$A$13:$A$102,0),MATCH(T$5,VehicleCostData!$N$12:$T$12,0)),"")</f>
        <v>452.21664405694594</v>
      </c>
      <c r="U71" s="684">
        <f>IFERROR(0.001*INDEX(VehicleCostData!$N$13:$T$102,MATCH($B71,VehicleCostData!$A$13:$A$102,0),MATCH(U$5,VehicleCostData!$N$12:$T$12,0)),"")</f>
        <v>453.2454066456026</v>
      </c>
      <c r="V71" s="684">
        <f>IFERROR(0.001*INDEX(VehicleCostData!$N$13:$T$102,MATCH($B71,VehicleCostData!$A$13:$A$102,0),MATCH(V$5,VehicleCostData!$N$12:$T$12,0)),"")</f>
        <v>454.27416923425938</v>
      </c>
      <c r="W71" s="685">
        <f>IFERROR(0.001*INDEX(VehicleCostData!$V$13:$AB$102,MATCH($B71,VehicleCostData!$A$13:$A$102,0),MATCH(W$5,VehicleCostData!$V$12:$AB$12,0)),"")</f>
        <v>11.729297314364672</v>
      </c>
      <c r="X71" s="685">
        <f>IFERROR(0.001*INDEX(VehicleCostData!$V$13:$AB$102,MATCH($B71,VehicleCostData!$A$13:$A$102,0),MATCH(X$5,VehicleCostData!$V$12:$AB$12,0)),"")</f>
        <v>12.075928932382933</v>
      </c>
      <c r="Y71" s="685">
        <f>IFERROR(0.001*INDEX(VehicleCostData!$V$13:$AB$102,MATCH($B71,VehicleCostData!$A$13:$A$102,0),MATCH(Y$5,VehicleCostData!$V$12:$AB$12,0)),"")</f>
        <v>12.20984938953754</v>
      </c>
      <c r="Z71" s="685">
        <f>IFERROR(0.001*INDEX(VehicleCostData!$V$13:$AB$102,MATCH($B71,VehicleCostData!$A$13:$A$102,0),MATCH(Z$5,VehicleCostData!$V$12:$AB$12,0)),"")</f>
        <v>12.265402569325003</v>
      </c>
      <c r="AA71" s="652">
        <v>20</v>
      </c>
      <c r="AB71" s="652">
        <v>20</v>
      </c>
      <c r="AC71" s="694">
        <f t="shared" si="0"/>
        <v>2018</v>
      </c>
      <c r="AD71" s="688">
        <v>1</v>
      </c>
    </row>
    <row r="72" spans="2:30" x14ac:dyDescent="0.25">
      <c r="B72" s="385" t="str">
        <f>IF(ITEMS_Tech_N!D72="","",ITEMS_Tech_N!D72)</f>
        <v>TFHCV3ODS-N</v>
      </c>
      <c r="C72" s="232" t="str">
        <f>IF(ITEMS_Tech_N!E72="","",ITEMS_Tech_N!E72)</f>
        <v>Transport Freight - HCV3 Oil Diesel-N</v>
      </c>
      <c r="D72" s="219" t="s">
        <v>411</v>
      </c>
      <c r="E72" s="219" t="s">
        <v>261</v>
      </c>
      <c r="F72" s="377">
        <f>IFERROR(INDEX('EFF-N_ANTC'!$J$6:$N$96,MATCH($B72,'EFF-N_ANTC'!$A$6:$A$96,0),MATCH(F$5,'EFF-N_ANTC'!$J$5:$N$5,0)),"")</f>
        <v>0.11964033060753712</v>
      </c>
      <c r="G72" s="377">
        <f>IFERROR(INDEX('EFF-N_ANTC'!$J$6:$N$96,MATCH($B72,'EFF-N_ANTC'!$A$6:$A$96,0),MATCH(G$5,'EFF-N_ANTC'!$J$5:$N$5,0)),"")</f>
        <v>0.12642405902549511</v>
      </c>
      <c r="H72" s="377">
        <f>IFERROR(INDEX('EFF-N_ANTC'!$J$6:$N$96,MATCH($B72,'EFF-N_ANTC'!$A$6:$A$96,0),MATCH(H$5,'EFF-N_ANTC'!$J$5:$N$5,0)),"")</f>
        <v>0.13979054043531805</v>
      </c>
      <c r="I72" s="377">
        <f>IFERROR(INDEX('EFF-N_ANTC'!$J$6:$N$96,MATCH($B72,'EFF-N_ANTC'!$A$6:$A$96,0),MATCH(I$5,'EFF-N_ANTC'!$J$5:$N$5,0)),"")</f>
        <v>0.15457022457456068</v>
      </c>
      <c r="J72" s="652">
        <v>1</v>
      </c>
      <c r="K72" s="652">
        <v>1</v>
      </c>
      <c r="L72" s="652">
        <v>1</v>
      </c>
      <c r="M72" s="652">
        <v>1</v>
      </c>
      <c r="N72" s="652">
        <v>1</v>
      </c>
      <c r="O72" s="379">
        <f>IFERROR(INDEX('CapUnit-N_ANTC'!$C$6:$C$96,MATCH($B72,'CapUnit-N_ANTC'!$A$6:$A$96,0)),"")</f>
        <v>8.4999999999999992E-2</v>
      </c>
      <c r="P72" s="684">
        <f>IFERROR(0.001*INDEX(VehicleCostData!$N$13:$T$102,MATCH($B72,VehicleCostData!$A$13:$A$102,0),MATCH(P$5,VehicleCostData!$N$12:$T$12,0)),"")</f>
        <v>434.41841905054338</v>
      </c>
      <c r="Q72" s="684">
        <f>IFERROR(0.001*INDEX(VehicleCostData!$N$13:$T$102,MATCH($B72,VehicleCostData!$A$13:$A$102,0),MATCH(Q$5,VehicleCostData!$N$12:$T$12,0)),"")</f>
        <v>444.12503046635584</v>
      </c>
      <c r="R72" s="684">
        <f>IFERROR(0.001*INDEX(VehicleCostData!$N$13:$T$102,MATCH($B72,VehicleCostData!$A$13:$A$102,0),MATCH(R$5,VehicleCostData!$N$12:$T$12,0)),"")</f>
        <v>447.25662712529379</v>
      </c>
      <c r="S72" s="684">
        <f>IFERROR(0.001*INDEX(VehicleCostData!$N$13:$T$102,MATCH($B72,VehicleCostData!$A$13:$A$102,0),MATCH(S$5,VehicleCostData!$N$12:$T$12,0)),"")</f>
        <v>449.73663559111981</v>
      </c>
      <c r="T72" s="684">
        <f>IFERROR(0.001*INDEX(VehicleCostData!$N$13:$T$102,MATCH($B72,VehicleCostData!$A$13:$A$102,0),MATCH(T$5,VehicleCostData!$N$12:$T$12,0)),"")</f>
        <v>452.21664405694594</v>
      </c>
      <c r="U72" s="684">
        <f>IFERROR(0.001*INDEX(VehicleCostData!$N$13:$T$102,MATCH($B72,VehicleCostData!$A$13:$A$102,0),MATCH(U$5,VehicleCostData!$N$12:$T$12,0)),"")</f>
        <v>453.2454066456026</v>
      </c>
      <c r="V72" s="684">
        <f>IFERROR(0.001*INDEX(VehicleCostData!$N$13:$T$102,MATCH($B72,VehicleCostData!$A$13:$A$102,0),MATCH(V$5,VehicleCostData!$N$12:$T$12,0)),"")</f>
        <v>454.27416923425938</v>
      </c>
      <c r="W72" s="685">
        <f>IFERROR(0.001*INDEX(VehicleCostData!$V$13:$AB$102,MATCH($B72,VehicleCostData!$A$13:$A$102,0),MATCH(W$5,VehicleCostData!$V$12:$AB$12,0)),"")</f>
        <v>11.729297314364672</v>
      </c>
      <c r="X72" s="685">
        <f>IFERROR(0.001*INDEX(VehicleCostData!$V$13:$AB$102,MATCH($B72,VehicleCostData!$A$13:$A$102,0),MATCH(X$5,VehicleCostData!$V$12:$AB$12,0)),"")</f>
        <v>12.075928932382933</v>
      </c>
      <c r="Y72" s="685">
        <f>IFERROR(0.001*INDEX(VehicleCostData!$V$13:$AB$102,MATCH($B72,VehicleCostData!$A$13:$A$102,0),MATCH(Y$5,VehicleCostData!$V$12:$AB$12,0)),"")</f>
        <v>12.20984938953754</v>
      </c>
      <c r="Z72" s="685">
        <f>IFERROR(0.001*INDEX(VehicleCostData!$V$13:$AB$102,MATCH($B72,VehicleCostData!$A$13:$A$102,0),MATCH(Z$5,VehicleCostData!$V$12:$AB$12,0)),"")</f>
        <v>12.265402569325003</v>
      </c>
      <c r="AA72" s="652">
        <v>20</v>
      </c>
      <c r="AB72" s="652">
        <v>20</v>
      </c>
      <c r="AC72" s="694">
        <f t="shared" si="0"/>
        <v>2018</v>
      </c>
      <c r="AD72" s="688">
        <v>1</v>
      </c>
    </row>
    <row r="73" spans="2:30" x14ac:dyDescent="0.25">
      <c r="B73" s="385" t="str">
        <f>IF(ITEMS_Tech_N!D73="","",ITEMS_Tech_N!D73)</f>
        <v>TFHCV4ODS-N</v>
      </c>
      <c r="C73" s="232" t="str">
        <f>IF(ITEMS_Tech_N!E73="","",ITEMS_Tech_N!E73)</f>
        <v>Transport Freight - HCV4 Oil Diesel-N</v>
      </c>
      <c r="D73" s="219" t="s">
        <v>411</v>
      </c>
      <c r="E73" s="219" t="s">
        <v>263</v>
      </c>
      <c r="F73" s="377">
        <f>IFERROR(INDEX('EFF-N_ANTC'!$J$6:$N$96,MATCH($B73,'EFF-N_ANTC'!$A$6:$A$96,0),MATCH(F$5,'EFF-N_ANTC'!$J$5:$N$5,0)),"")</f>
        <v>0.10281963637464944</v>
      </c>
      <c r="G73" s="377">
        <f>IFERROR(INDEX('EFF-N_ANTC'!$J$6:$N$96,MATCH($B73,'EFF-N_ANTC'!$A$6:$A$96,0),MATCH(G$5,'EFF-N_ANTC'!$J$5:$N$5,0)),"")</f>
        <v>0.10864961432319646</v>
      </c>
      <c r="H73" s="377">
        <f>IFERROR(INDEX('EFF-N_ANTC'!$J$6:$N$96,MATCH($B73,'EFF-N_ANTC'!$A$6:$A$96,0),MATCH(H$5,'EFF-N_ANTC'!$J$5:$N$5,0)),"")</f>
        <v>0.12013685070233035</v>
      </c>
      <c r="I73" s="377">
        <f>IFERROR(INDEX('EFF-N_ANTC'!$J$6:$N$96,MATCH($B73,'EFF-N_ANTC'!$A$6:$A$96,0),MATCH(I$5,'EFF-N_ANTC'!$J$5:$N$5,0)),"")</f>
        <v>0.13283860220378738</v>
      </c>
      <c r="J73" s="652">
        <v>1</v>
      </c>
      <c r="K73" s="652">
        <v>1</v>
      </c>
      <c r="L73" s="652">
        <v>1</v>
      </c>
      <c r="M73" s="652">
        <v>1</v>
      </c>
      <c r="N73" s="652">
        <v>1</v>
      </c>
      <c r="O73" s="379">
        <f>IFERROR(INDEX('CapUnit-N_ANTC'!$C$6:$C$96,MATCH($B73,'CapUnit-N_ANTC'!$A$6:$A$96,0)),"")</f>
        <v>8.4999999999999992E-2</v>
      </c>
      <c r="P73" s="684">
        <f>IFERROR(0.001*INDEX(VehicleCostData!$N$13:$T$102,MATCH($B73,VehicleCostData!$A$13:$A$102,0),MATCH(P$5,VehicleCostData!$N$12:$T$12,0)),"")</f>
        <v>833.32027765020598</v>
      </c>
      <c r="Q73" s="684">
        <f>IFERROR(0.001*INDEX(VehicleCostData!$N$13:$T$102,MATCH($B73,VehicleCostData!$A$13:$A$102,0),MATCH(Q$5,VehicleCostData!$N$12:$T$12,0)),"")</f>
        <v>851.93992121353836</v>
      </c>
      <c r="R73" s="684">
        <f>IFERROR(0.001*INDEX(VehicleCostData!$N$13:$T$102,MATCH($B73,VehicleCostData!$A$13:$A$102,0),MATCH(R$5,VehicleCostData!$N$12:$T$12,0)),"")</f>
        <v>857.94708592588677</v>
      </c>
      <c r="S73" s="684">
        <f>IFERROR(0.001*INDEX(VehicleCostData!$N$13:$T$102,MATCH($B73,VehicleCostData!$A$13:$A$102,0),MATCH(S$5,VehicleCostData!$N$12:$T$12,0)),"")</f>
        <v>862.70434586857948</v>
      </c>
      <c r="T73" s="684">
        <f>IFERROR(0.001*INDEX(VehicleCostData!$N$13:$T$102,MATCH($B73,VehicleCostData!$A$13:$A$102,0),MATCH(T$5,VehicleCostData!$N$12:$T$12,0)),"")</f>
        <v>867.46160581127219</v>
      </c>
      <c r="U73" s="684">
        <f>IFERROR(0.001*INDEX(VehicleCostData!$N$13:$T$102,MATCH($B73,VehicleCostData!$A$13:$A$102,0),MATCH(U$5,VehicleCostData!$N$12:$T$12,0)),"")</f>
        <v>869.43502288665593</v>
      </c>
      <c r="V73" s="684">
        <f>IFERROR(0.001*INDEX(VehicleCostData!$N$13:$T$102,MATCH($B73,VehicleCostData!$A$13:$A$102,0),MATCH(V$5,VehicleCostData!$N$12:$T$12,0)),"")</f>
        <v>871.40843996203967</v>
      </c>
      <c r="W73" s="685">
        <f>IFERROR(0.001*INDEX(VehicleCostData!$V$13:$AB$102,MATCH($B73,VehicleCostData!$A$13:$A$102,0),MATCH(W$5,VehicleCostData!$V$12:$AB$12,0)),"")</f>
        <v>22.499647496555561</v>
      </c>
      <c r="X73" s="685">
        <f>IFERROR(0.001*INDEX(VehicleCostData!$V$13:$AB$102,MATCH($B73,VehicleCostData!$A$13:$A$102,0),MATCH(X$5,VehicleCostData!$V$12:$AB$12,0)),"")</f>
        <v>23.164571319998942</v>
      </c>
      <c r="Y73" s="685">
        <f>IFERROR(0.001*INDEX(VehicleCostData!$V$13:$AB$102,MATCH($B73,VehicleCostData!$A$13:$A$102,0),MATCH(Y$5,VehicleCostData!$V$12:$AB$12,0)),"")</f>
        <v>23.421463356904347</v>
      </c>
      <c r="Z73" s="685">
        <f>IFERROR(0.001*INDEX(VehicleCostData!$V$13:$AB$102,MATCH($B73,VehicleCostData!$A$13:$A$102,0),MATCH(Z$5,VehicleCostData!$V$12:$AB$12,0)),"")</f>
        <v>23.52802787897507</v>
      </c>
      <c r="AA73" s="652">
        <v>20</v>
      </c>
      <c r="AB73" s="652">
        <v>20</v>
      </c>
      <c r="AC73" s="694">
        <f t="shared" si="0"/>
        <v>2018</v>
      </c>
      <c r="AD73" s="688">
        <v>1</v>
      </c>
    </row>
    <row r="74" spans="2:30" x14ac:dyDescent="0.25">
      <c r="B74" s="385" t="str">
        <f>IF(ITEMS_Tech_N!D74="","",ITEMS_Tech_N!D74)</f>
        <v>TFHCV5ODS-N</v>
      </c>
      <c r="C74" s="232" t="str">
        <f>IF(ITEMS_Tech_N!E74="","",ITEMS_Tech_N!E74)</f>
        <v>Transport Freight - HCV5 Oil Diesel-N</v>
      </c>
      <c r="D74" s="219" t="s">
        <v>411</v>
      </c>
      <c r="E74" s="219" t="s">
        <v>265</v>
      </c>
      <c r="F74" s="377">
        <f>IFERROR(INDEX('EFF-N_ANTC'!$J$6:$N$96,MATCH($B74,'EFF-N_ANTC'!$A$6:$A$96,0),MATCH(F$5,'EFF-N_ANTC'!$J$5:$N$5,0)),"")</f>
        <v>9.4723463153705931E-2</v>
      </c>
      <c r="G74" s="377">
        <f>IFERROR(INDEX('EFF-N_ANTC'!$J$6:$N$96,MATCH($B74,'EFF-N_ANTC'!$A$6:$A$96,0),MATCH(G$5,'EFF-N_ANTC'!$J$5:$N$5,0)),"")</f>
        <v>0.1000943798469327</v>
      </c>
      <c r="H74" s="377">
        <f>IFERROR(INDEX('EFF-N_ANTC'!$J$6:$N$96,MATCH($B74,'EFF-N_ANTC'!$A$6:$A$96,0),MATCH(H$5,'EFF-N_ANTC'!$J$5:$N$5,0)),"")</f>
        <v>0.11067709391073265</v>
      </c>
      <c r="I74" s="377">
        <f>IFERROR(INDEX('EFF-N_ANTC'!$J$6:$N$96,MATCH($B74,'EFF-N_ANTC'!$A$6:$A$96,0),MATCH(I$5,'EFF-N_ANTC'!$J$5:$N$5,0)),"")</f>
        <v>0.12237869034462585</v>
      </c>
      <c r="J74" s="652">
        <v>1</v>
      </c>
      <c r="K74" s="652">
        <v>1</v>
      </c>
      <c r="L74" s="652">
        <v>1</v>
      </c>
      <c r="M74" s="652">
        <v>1</v>
      </c>
      <c r="N74" s="652">
        <v>1</v>
      </c>
      <c r="O74" s="379">
        <f>IFERROR(INDEX('CapUnit-N_ANTC'!$C$6:$C$96,MATCH($B74,'CapUnit-N_ANTC'!$A$6:$A$96,0)),"")</f>
        <v>0.11</v>
      </c>
      <c r="P74" s="684">
        <f>IFERROR(0.001*INDEX(VehicleCostData!$N$13:$T$102,MATCH($B74,VehicleCostData!$A$13:$A$102,0),MATCH(P$5,VehicleCostData!$N$12:$T$12,0)),"")</f>
        <v>833.32027765020598</v>
      </c>
      <c r="Q74" s="684">
        <f>IFERROR(0.001*INDEX(VehicleCostData!$N$13:$T$102,MATCH($B74,VehicleCostData!$A$13:$A$102,0),MATCH(Q$5,VehicleCostData!$N$12:$T$12,0)),"")</f>
        <v>851.93992121353836</v>
      </c>
      <c r="R74" s="684">
        <f>IFERROR(0.001*INDEX(VehicleCostData!$N$13:$T$102,MATCH($B74,VehicleCostData!$A$13:$A$102,0),MATCH(R$5,VehicleCostData!$N$12:$T$12,0)),"")</f>
        <v>857.94708592588677</v>
      </c>
      <c r="S74" s="684">
        <f>IFERROR(0.001*INDEX(VehicleCostData!$N$13:$T$102,MATCH($B74,VehicleCostData!$A$13:$A$102,0),MATCH(S$5,VehicleCostData!$N$12:$T$12,0)),"")</f>
        <v>862.70434586857948</v>
      </c>
      <c r="T74" s="684">
        <f>IFERROR(0.001*INDEX(VehicleCostData!$N$13:$T$102,MATCH($B74,VehicleCostData!$A$13:$A$102,0),MATCH(T$5,VehicleCostData!$N$12:$T$12,0)),"")</f>
        <v>867.46160581127219</v>
      </c>
      <c r="U74" s="684">
        <f>IFERROR(0.001*INDEX(VehicleCostData!$N$13:$T$102,MATCH($B74,VehicleCostData!$A$13:$A$102,0),MATCH(U$5,VehicleCostData!$N$12:$T$12,0)),"")</f>
        <v>869.43502288665593</v>
      </c>
      <c r="V74" s="684">
        <f>IFERROR(0.001*INDEX(VehicleCostData!$N$13:$T$102,MATCH($B74,VehicleCostData!$A$13:$A$102,0),MATCH(V$5,VehicleCostData!$N$12:$T$12,0)),"")</f>
        <v>871.40843996203967</v>
      </c>
      <c r="W74" s="685">
        <f>IFERROR(0.001*INDEX(VehicleCostData!$V$13:$AB$102,MATCH($B74,VehicleCostData!$A$13:$A$102,0),MATCH(W$5,VehicleCostData!$V$12:$AB$12,0)),"")</f>
        <v>22.499647496555561</v>
      </c>
      <c r="X74" s="685">
        <f>IFERROR(0.001*INDEX(VehicleCostData!$V$13:$AB$102,MATCH($B74,VehicleCostData!$A$13:$A$102,0),MATCH(X$5,VehicleCostData!$V$12:$AB$12,0)),"")</f>
        <v>23.164571319998942</v>
      </c>
      <c r="Y74" s="685">
        <f>IFERROR(0.001*INDEX(VehicleCostData!$V$13:$AB$102,MATCH($B74,VehicleCostData!$A$13:$A$102,0),MATCH(Y$5,VehicleCostData!$V$12:$AB$12,0)),"")</f>
        <v>23.421463356904347</v>
      </c>
      <c r="Z74" s="685">
        <f>IFERROR(0.001*INDEX(VehicleCostData!$V$13:$AB$102,MATCH($B74,VehicleCostData!$A$13:$A$102,0),MATCH(Z$5,VehicleCostData!$V$12:$AB$12,0)),"")</f>
        <v>23.52802787897507</v>
      </c>
      <c r="AA74" s="652">
        <v>20</v>
      </c>
      <c r="AB74" s="652">
        <v>20</v>
      </c>
      <c r="AC74" s="694">
        <f t="shared" ref="AC74:AC122" si="1">IFERROR(VLOOKUP($AD74,$AC$1:$AD$3,2,FALSE),"")</f>
        <v>2018</v>
      </c>
      <c r="AD74" s="688">
        <v>1</v>
      </c>
    </row>
    <row r="75" spans="2:30" x14ac:dyDescent="0.25">
      <c r="B75" s="385" t="str">
        <f>IF(ITEMS_Tech_N!D75="","",ITEMS_Tech_N!D75)</f>
        <v>TFHCV6ODS-N</v>
      </c>
      <c r="C75" s="232" t="str">
        <f>IF(ITEMS_Tech_N!E75="","",ITEMS_Tech_N!E75)</f>
        <v>Transport Freight - HCV6 Oil Diesel-N</v>
      </c>
      <c r="D75" s="219" t="s">
        <v>411</v>
      </c>
      <c r="E75" s="219" t="s">
        <v>267</v>
      </c>
      <c r="F75" s="377">
        <f>IFERROR(INDEX('EFF-N_ANTC'!$J$6:$N$96,MATCH($B75,'EFF-N_ANTC'!$A$6:$A$96,0),MATCH(F$5,'EFF-N_ANTC'!$J$5:$N$5,0)),"")</f>
        <v>6.5335885867528767E-2</v>
      </c>
      <c r="G75" s="377">
        <f>IFERROR(INDEX('EFF-N_ANTC'!$J$6:$N$96,MATCH($B75,'EFF-N_ANTC'!$A$6:$A$96,0),MATCH(G$5,'EFF-N_ANTC'!$J$5:$N$5,0)),"")</f>
        <v>6.9040497041882143E-2</v>
      </c>
      <c r="H75" s="377">
        <f>IFERROR(INDEX('EFF-N_ANTC'!$J$6:$N$96,MATCH($B75,'EFF-N_ANTC'!$A$6:$A$96,0),MATCH(H$5,'EFF-N_ANTC'!$J$5:$N$5,0)),"")</f>
        <v>7.6339966204228477E-2</v>
      </c>
      <c r="I75" s="377">
        <f>IFERROR(INDEX('EFF-N_ANTC'!$J$6:$N$96,MATCH($B75,'EFF-N_ANTC'!$A$6:$A$96,0),MATCH(I$5,'EFF-N_ANTC'!$J$5:$N$5,0)),"")</f>
        <v>8.4411188936363318E-2</v>
      </c>
      <c r="J75" s="652">
        <v>1</v>
      </c>
      <c r="K75" s="652">
        <v>1</v>
      </c>
      <c r="L75" s="652">
        <v>1</v>
      </c>
      <c r="M75" s="652">
        <v>1</v>
      </c>
      <c r="N75" s="652">
        <v>1</v>
      </c>
      <c r="O75" s="379">
        <f>IFERROR(INDEX('CapUnit-N_ANTC'!$C$6:$C$96,MATCH($B75,'CapUnit-N_ANTC'!$A$6:$A$96,0)),"")</f>
        <v>0.11</v>
      </c>
      <c r="P75" s="684">
        <f>IFERROR(0.001*INDEX(VehicleCostData!$N$13:$T$102,MATCH($B75,VehicleCostData!$A$13:$A$102,0),MATCH(P$5,VehicleCostData!$N$12:$T$12,0)),"")</f>
        <v>833.32027765020598</v>
      </c>
      <c r="Q75" s="684">
        <f>IFERROR(0.001*INDEX(VehicleCostData!$N$13:$T$102,MATCH($B75,VehicleCostData!$A$13:$A$102,0),MATCH(Q$5,VehicleCostData!$N$12:$T$12,0)),"")</f>
        <v>851.93992121353836</v>
      </c>
      <c r="R75" s="684">
        <f>IFERROR(0.001*INDEX(VehicleCostData!$N$13:$T$102,MATCH($B75,VehicleCostData!$A$13:$A$102,0),MATCH(R$5,VehicleCostData!$N$12:$T$12,0)),"")</f>
        <v>857.94708592588677</v>
      </c>
      <c r="S75" s="684">
        <f>IFERROR(0.001*INDEX(VehicleCostData!$N$13:$T$102,MATCH($B75,VehicleCostData!$A$13:$A$102,0),MATCH(S$5,VehicleCostData!$N$12:$T$12,0)),"")</f>
        <v>862.70434586857948</v>
      </c>
      <c r="T75" s="684">
        <f>IFERROR(0.001*INDEX(VehicleCostData!$N$13:$T$102,MATCH($B75,VehicleCostData!$A$13:$A$102,0),MATCH(T$5,VehicleCostData!$N$12:$T$12,0)),"")</f>
        <v>867.46160581127219</v>
      </c>
      <c r="U75" s="684">
        <f>IFERROR(0.001*INDEX(VehicleCostData!$N$13:$T$102,MATCH($B75,VehicleCostData!$A$13:$A$102,0),MATCH(U$5,VehicleCostData!$N$12:$T$12,0)),"")</f>
        <v>869.43502288665593</v>
      </c>
      <c r="V75" s="684">
        <f>IFERROR(0.001*INDEX(VehicleCostData!$N$13:$T$102,MATCH($B75,VehicleCostData!$A$13:$A$102,0),MATCH(V$5,VehicleCostData!$N$12:$T$12,0)),"")</f>
        <v>871.40843996203967</v>
      </c>
      <c r="W75" s="685">
        <f>IFERROR(0.001*INDEX(VehicleCostData!$V$13:$AB$102,MATCH($B75,VehicleCostData!$A$13:$A$102,0),MATCH(W$5,VehicleCostData!$V$12:$AB$12,0)),"")</f>
        <v>22.499647496555561</v>
      </c>
      <c r="X75" s="685">
        <f>IFERROR(0.001*INDEX(VehicleCostData!$V$13:$AB$102,MATCH($B75,VehicleCostData!$A$13:$A$102,0),MATCH(X$5,VehicleCostData!$V$12:$AB$12,0)),"")</f>
        <v>23.164571319998942</v>
      </c>
      <c r="Y75" s="685">
        <f>IFERROR(0.001*INDEX(VehicleCostData!$V$13:$AB$102,MATCH($B75,VehicleCostData!$A$13:$A$102,0),MATCH(Y$5,VehicleCostData!$V$12:$AB$12,0)),"")</f>
        <v>23.421463356904347</v>
      </c>
      <c r="Z75" s="685">
        <f>IFERROR(0.001*INDEX(VehicleCostData!$V$13:$AB$102,MATCH($B75,VehicleCostData!$A$13:$A$102,0),MATCH(Z$5,VehicleCostData!$V$12:$AB$12,0)),"")</f>
        <v>23.52802787897507</v>
      </c>
      <c r="AA75" s="652">
        <v>20</v>
      </c>
      <c r="AB75" s="652">
        <v>20</v>
      </c>
      <c r="AC75" s="694">
        <f t="shared" si="1"/>
        <v>2018</v>
      </c>
      <c r="AD75" s="688">
        <v>1</v>
      </c>
    </row>
    <row r="76" spans="2:30" x14ac:dyDescent="0.25">
      <c r="B76" s="385" t="str">
        <f>IF(ITEMS_Tech_N!D76="","",ITEMS_Tech_N!D76)</f>
        <v>TFHCV7ODS-N</v>
      </c>
      <c r="C76" s="232" t="str">
        <f>IF(ITEMS_Tech_N!E76="","",ITEMS_Tech_N!E76)</f>
        <v>Transport Freight - HCV7 Oil Diesel-N</v>
      </c>
      <c r="D76" s="219" t="s">
        <v>411</v>
      </c>
      <c r="E76" s="219" t="s">
        <v>270</v>
      </c>
      <c r="F76" s="377">
        <f>IFERROR(INDEX('EFF-N_ANTC'!$J$6:$N$96,MATCH($B76,'EFF-N_ANTC'!$A$6:$A$96,0),MATCH(F$5,'EFF-N_ANTC'!$J$5:$N$5,0)),"")</f>
        <v>7.0529217664861518E-2</v>
      </c>
      <c r="G76" s="377">
        <f>IFERROR(INDEX('EFF-N_ANTC'!$J$6:$N$96,MATCH($B76,'EFF-N_ANTC'!$A$6:$A$96,0),MATCH(G$5,'EFF-N_ANTC'!$J$5:$N$5,0)),"")</f>
        <v>7.4528296033668062E-2</v>
      </c>
      <c r="H76" s="377">
        <f>IFERROR(INDEX('EFF-N_ANTC'!$J$6:$N$96,MATCH($B76,'EFF-N_ANTC'!$A$6:$A$96,0),MATCH(H$5,'EFF-N_ANTC'!$J$5:$N$5,0)),"")</f>
        <v>8.2407975669954003E-2</v>
      </c>
      <c r="I76" s="377">
        <f>IFERROR(INDEX('EFF-N_ANTC'!$J$6:$N$96,MATCH($B76,'EFF-N_ANTC'!$A$6:$A$96,0),MATCH(I$5,'EFF-N_ANTC'!$J$5:$N$5,0)),"")</f>
        <v>9.1120752994968135E-2</v>
      </c>
      <c r="J76" s="652">
        <v>1</v>
      </c>
      <c r="K76" s="652">
        <v>1</v>
      </c>
      <c r="L76" s="652">
        <v>1</v>
      </c>
      <c r="M76" s="652">
        <v>1</v>
      </c>
      <c r="N76" s="652">
        <v>1</v>
      </c>
      <c r="O76" s="379">
        <f>IFERROR(INDEX('CapUnit-N_ANTC'!$C$6:$C$96,MATCH($B76,'CapUnit-N_ANTC'!$A$6:$A$96,0)),"")</f>
        <v>0.16</v>
      </c>
      <c r="P76" s="684">
        <f>IFERROR(0.001*INDEX(VehicleCostData!$N$13:$T$102,MATCH($B76,VehicleCostData!$A$13:$A$102,0),MATCH(P$5,VehicleCostData!$N$12:$T$12,0)),"")</f>
        <v>1111.093703533608</v>
      </c>
      <c r="Q76" s="684">
        <f>IFERROR(0.001*INDEX(VehicleCostData!$N$13:$T$102,MATCH($B76,VehicleCostData!$A$13:$A$102,0),MATCH(Q$5,VehicleCostData!$N$12:$T$12,0)),"")</f>
        <v>1135.9198949513845</v>
      </c>
      <c r="R76" s="684">
        <f>IFERROR(0.001*INDEX(VehicleCostData!$N$13:$T$102,MATCH($B76,VehicleCostData!$A$13:$A$102,0),MATCH(R$5,VehicleCostData!$N$12:$T$12,0)),"")</f>
        <v>1143.9294479011824</v>
      </c>
      <c r="S76" s="684">
        <f>IFERROR(0.001*INDEX(VehicleCostData!$N$13:$T$102,MATCH($B76,VehicleCostData!$A$13:$A$102,0),MATCH(S$5,VehicleCostData!$N$12:$T$12,0)),"")</f>
        <v>1150.2724611581059</v>
      </c>
      <c r="T76" s="684">
        <f>IFERROR(0.001*INDEX(VehicleCostData!$N$13:$T$102,MATCH($B76,VehicleCostData!$A$13:$A$102,0),MATCH(T$5,VehicleCostData!$N$12:$T$12,0)),"")</f>
        <v>1156.6154744150297</v>
      </c>
      <c r="U76" s="684">
        <f>IFERROR(0.001*INDEX(VehicleCostData!$N$13:$T$102,MATCH($B76,VehicleCostData!$A$13:$A$102,0),MATCH(U$5,VehicleCostData!$N$12:$T$12,0)),"")</f>
        <v>1159.2466971822078</v>
      </c>
      <c r="V76" s="684">
        <f>IFERROR(0.001*INDEX(VehicleCostData!$N$13:$T$102,MATCH($B76,VehicleCostData!$A$13:$A$102,0),MATCH(V$5,VehicleCostData!$N$12:$T$12,0)),"")</f>
        <v>1161.8779199493863</v>
      </c>
      <c r="W76" s="685">
        <f>IFERROR(0.001*INDEX(VehicleCostData!$V$13:$AB$102,MATCH($B76,VehicleCostData!$A$13:$A$102,0),MATCH(W$5,VehicleCostData!$V$12:$AB$12,0)),"")</f>
        <v>29.999529995407414</v>
      </c>
      <c r="X76" s="685">
        <f>IFERROR(0.001*INDEX(VehicleCostData!$V$13:$AB$102,MATCH($B76,VehicleCostData!$A$13:$A$102,0),MATCH(X$5,VehicleCostData!$V$12:$AB$12,0)),"")</f>
        <v>30.886095093331921</v>
      </c>
      <c r="Y76" s="685">
        <f>IFERROR(0.001*INDEX(VehicleCostData!$V$13:$AB$102,MATCH($B76,VehicleCostData!$A$13:$A$102,0),MATCH(Y$5,VehicleCostData!$V$12:$AB$12,0)),"")</f>
        <v>31.228617809205801</v>
      </c>
      <c r="Z76" s="685">
        <f>IFERROR(0.001*INDEX(VehicleCostData!$V$13:$AB$102,MATCH($B76,VehicleCostData!$A$13:$A$102,0),MATCH(Z$5,VehicleCostData!$V$12:$AB$12,0)),"")</f>
        <v>31.370703838633428</v>
      </c>
      <c r="AA76" s="652">
        <v>20</v>
      </c>
      <c r="AB76" s="652">
        <v>20</v>
      </c>
      <c r="AC76" s="694">
        <f t="shared" si="1"/>
        <v>2018</v>
      </c>
      <c r="AD76" s="688">
        <v>1</v>
      </c>
    </row>
    <row r="77" spans="2:30" x14ac:dyDescent="0.25">
      <c r="B77" s="385" t="str">
        <f>IF(ITEMS_Tech_N!D77="","",ITEMS_Tech_N!D77)</f>
        <v>TFHCV8ODS-N</v>
      </c>
      <c r="C77" s="232" t="str">
        <f>IF(ITEMS_Tech_N!E77="","",ITEMS_Tech_N!E77)</f>
        <v>Transport Freight - HCV8 Oil Diesel-N</v>
      </c>
      <c r="D77" s="219" t="s">
        <v>411</v>
      </c>
      <c r="E77" s="219" t="s">
        <v>272</v>
      </c>
      <c r="F77" s="377">
        <f>IFERROR(INDEX('EFF-N_ANTC'!$J$6:$N$96,MATCH($B77,'EFF-N_ANTC'!$A$6:$A$96,0),MATCH(F$5,'EFF-N_ANTC'!$J$5:$N$5,0)),"")</f>
        <v>6.9401604619788601E-2</v>
      </c>
      <c r="G77" s="377">
        <f>IFERROR(INDEX('EFF-N_ANTC'!$J$6:$N$96,MATCH($B77,'EFF-N_ANTC'!$A$6:$A$96,0),MATCH(G$5,'EFF-N_ANTC'!$J$5:$N$5,0)),"")</f>
        <v>7.3336746182173118E-2</v>
      </c>
      <c r="H77" s="377">
        <f>IFERROR(INDEX('EFF-N_ANTC'!$J$6:$N$96,MATCH($B77,'EFF-N_ANTC'!$A$6:$A$96,0),MATCH(H$5,'EFF-N_ANTC'!$J$5:$N$5,0)),"")</f>
        <v>8.109044640392632E-2</v>
      </c>
      <c r="I77" s="377">
        <f>IFERROR(INDEX('EFF-N_ANTC'!$J$6:$N$96,MATCH($B77,'EFF-N_ANTC'!$A$6:$A$96,0),MATCH(I$5,'EFF-N_ANTC'!$J$5:$N$5,0)),"")</f>
        <v>8.966392484408417E-2</v>
      </c>
      <c r="J77" s="652">
        <v>1</v>
      </c>
      <c r="K77" s="652">
        <v>1</v>
      </c>
      <c r="L77" s="652">
        <v>1</v>
      </c>
      <c r="M77" s="652">
        <v>1</v>
      </c>
      <c r="N77" s="652">
        <v>1</v>
      </c>
      <c r="O77" s="379">
        <f>IFERROR(INDEX('CapUnit-N_ANTC'!$C$6:$C$96,MATCH($B77,'CapUnit-N_ANTC'!$A$6:$A$96,0)),"")</f>
        <v>0.16</v>
      </c>
      <c r="P77" s="684">
        <f>IFERROR(0.001*INDEX(VehicleCostData!$N$13:$T$102,MATCH($B77,VehicleCostData!$A$13:$A$102,0),MATCH(P$5,VehicleCostData!$N$12:$T$12,0)),"")</f>
        <v>1111.093703533608</v>
      </c>
      <c r="Q77" s="684">
        <f>IFERROR(0.001*INDEX(VehicleCostData!$N$13:$T$102,MATCH($B77,VehicleCostData!$A$13:$A$102,0),MATCH(Q$5,VehicleCostData!$N$12:$T$12,0)),"")</f>
        <v>1135.9198949513845</v>
      </c>
      <c r="R77" s="684">
        <f>IFERROR(0.001*INDEX(VehicleCostData!$N$13:$T$102,MATCH($B77,VehicleCostData!$A$13:$A$102,0),MATCH(R$5,VehicleCostData!$N$12:$T$12,0)),"")</f>
        <v>1143.9294479011824</v>
      </c>
      <c r="S77" s="684">
        <f>IFERROR(0.001*INDEX(VehicleCostData!$N$13:$T$102,MATCH($B77,VehicleCostData!$A$13:$A$102,0),MATCH(S$5,VehicleCostData!$N$12:$T$12,0)),"")</f>
        <v>1150.2724611581059</v>
      </c>
      <c r="T77" s="684">
        <f>IFERROR(0.001*INDEX(VehicleCostData!$N$13:$T$102,MATCH($B77,VehicleCostData!$A$13:$A$102,0),MATCH(T$5,VehicleCostData!$N$12:$T$12,0)),"")</f>
        <v>1156.6154744150297</v>
      </c>
      <c r="U77" s="684">
        <f>IFERROR(0.001*INDEX(VehicleCostData!$N$13:$T$102,MATCH($B77,VehicleCostData!$A$13:$A$102,0),MATCH(U$5,VehicleCostData!$N$12:$T$12,0)),"")</f>
        <v>1159.2466971822078</v>
      </c>
      <c r="V77" s="684">
        <f>IFERROR(0.001*INDEX(VehicleCostData!$N$13:$T$102,MATCH($B77,VehicleCostData!$A$13:$A$102,0),MATCH(V$5,VehicleCostData!$N$12:$T$12,0)),"")</f>
        <v>1161.8779199493863</v>
      </c>
      <c r="W77" s="685">
        <f>IFERROR(0.001*INDEX(VehicleCostData!$V$13:$AB$102,MATCH($B77,VehicleCostData!$A$13:$A$102,0),MATCH(W$5,VehicleCostData!$V$12:$AB$12,0)),"")</f>
        <v>29.999529995407414</v>
      </c>
      <c r="X77" s="685">
        <f>IFERROR(0.001*INDEX(VehicleCostData!$V$13:$AB$102,MATCH($B77,VehicleCostData!$A$13:$A$102,0),MATCH(X$5,VehicleCostData!$V$12:$AB$12,0)),"")</f>
        <v>30.886095093331921</v>
      </c>
      <c r="Y77" s="685">
        <f>IFERROR(0.001*INDEX(VehicleCostData!$V$13:$AB$102,MATCH($B77,VehicleCostData!$A$13:$A$102,0),MATCH(Y$5,VehicleCostData!$V$12:$AB$12,0)),"")</f>
        <v>31.228617809205801</v>
      </c>
      <c r="Z77" s="685">
        <f>IFERROR(0.001*INDEX(VehicleCostData!$V$13:$AB$102,MATCH($B77,VehicleCostData!$A$13:$A$102,0),MATCH(Z$5,VehicleCostData!$V$12:$AB$12,0)),"")</f>
        <v>31.370703838633428</v>
      </c>
      <c r="AA77" s="652">
        <v>20</v>
      </c>
      <c r="AB77" s="652">
        <v>20</v>
      </c>
      <c r="AC77" s="694">
        <f t="shared" si="1"/>
        <v>2018</v>
      </c>
      <c r="AD77" s="688">
        <v>1</v>
      </c>
    </row>
    <row r="78" spans="2:30" x14ac:dyDescent="0.25">
      <c r="B78" s="385" t="str">
        <f>IF(ITEMS_Tech_N!D78="","",ITEMS_Tech_N!D78)</f>
        <v>TFHCV9ODS-N</v>
      </c>
      <c r="C78" s="232" t="str">
        <f>IF(ITEMS_Tech_N!E78="","",ITEMS_Tech_N!E78)</f>
        <v>Transport Freight - HCV9 Oil Diesel-N</v>
      </c>
      <c r="D78" s="219" t="s">
        <v>411</v>
      </c>
      <c r="E78" s="219" t="s">
        <v>274</v>
      </c>
      <c r="F78" s="377">
        <f>IFERROR(INDEX('EFF-N_ANTC'!$J$6:$N$96,MATCH($B78,'EFF-N_ANTC'!$A$6:$A$96,0),MATCH(F$5,'EFF-N_ANTC'!$J$5:$N$5,0)),"")</f>
        <v>5.4534804966928384E-2</v>
      </c>
      <c r="G78" s="377">
        <f>IFERROR(INDEX('EFF-N_ANTC'!$J$6:$N$96,MATCH($B78,'EFF-N_ANTC'!$A$6:$A$96,0),MATCH(G$5,'EFF-N_ANTC'!$J$5:$N$5,0)),"")</f>
        <v>5.7626983869672431E-2</v>
      </c>
      <c r="H78" s="377">
        <f>IFERROR(INDEX('EFF-N_ANTC'!$J$6:$N$96,MATCH($B78,'EFF-N_ANTC'!$A$6:$A$96,0),MATCH(H$5,'EFF-N_ANTC'!$J$5:$N$5,0)),"")</f>
        <v>6.3719732469389584E-2</v>
      </c>
      <c r="I78" s="377">
        <f>IFERROR(INDEX('EFF-N_ANTC'!$J$6:$N$96,MATCH($B78,'EFF-N_ANTC'!$A$6:$A$96,0),MATCH(I$5,'EFF-N_ANTC'!$J$5:$N$5,0)),"")</f>
        <v>7.0456651265195916E-2</v>
      </c>
      <c r="J78" s="652">
        <v>1</v>
      </c>
      <c r="K78" s="652">
        <v>1</v>
      </c>
      <c r="L78" s="652">
        <v>1</v>
      </c>
      <c r="M78" s="652">
        <v>1</v>
      </c>
      <c r="N78" s="652">
        <v>1</v>
      </c>
      <c r="O78" s="379">
        <f>IFERROR(INDEX('CapUnit-N_ANTC'!$C$6:$C$96,MATCH($B78,'CapUnit-N_ANTC'!$A$6:$A$96,0)),"")</f>
        <v>0.18</v>
      </c>
      <c r="P78" s="684">
        <f>IFERROR(0.001*INDEX(VehicleCostData!$N$13:$T$102,MATCH($B78,VehicleCostData!$A$13:$A$102,0),MATCH(P$5,VehicleCostData!$N$12:$T$12,0)),"")</f>
        <v>1111.093703533608</v>
      </c>
      <c r="Q78" s="684">
        <f>IFERROR(0.001*INDEX(VehicleCostData!$N$13:$T$102,MATCH($B78,VehicleCostData!$A$13:$A$102,0),MATCH(Q$5,VehicleCostData!$N$12:$T$12,0)),"")</f>
        <v>1135.9198949513845</v>
      </c>
      <c r="R78" s="684">
        <f>IFERROR(0.001*INDEX(VehicleCostData!$N$13:$T$102,MATCH($B78,VehicleCostData!$A$13:$A$102,0),MATCH(R$5,VehicleCostData!$N$12:$T$12,0)),"")</f>
        <v>1143.9294479011824</v>
      </c>
      <c r="S78" s="684">
        <f>IFERROR(0.001*INDEX(VehicleCostData!$N$13:$T$102,MATCH($B78,VehicleCostData!$A$13:$A$102,0),MATCH(S$5,VehicleCostData!$N$12:$T$12,0)),"")</f>
        <v>1150.2724611581059</v>
      </c>
      <c r="T78" s="684">
        <f>IFERROR(0.001*INDEX(VehicleCostData!$N$13:$T$102,MATCH($B78,VehicleCostData!$A$13:$A$102,0),MATCH(T$5,VehicleCostData!$N$12:$T$12,0)),"")</f>
        <v>1156.6154744150297</v>
      </c>
      <c r="U78" s="684">
        <f>IFERROR(0.001*INDEX(VehicleCostData!$N$13:$T$102,MATCH($B78,VehicleCostData!$A$13:$A$102,0),MATCH(U$5,VehicleCostData!$N$12:$T$12,0)),"")</f>
        <v>1159.2466971822078</v>
      </c>
      <c r="V78" s="684">
        <f>IFERROR(0.001*INDEX(VehicleCostData!$N$13:$T$102,MATCH($B78,VehicleCostData!$A$13:$A$102,0),MATCH(V$5,VehicleCostData!$N$12:$T$12,0)),"")</f>
        <v>1161.8779199493863</v>
      </c>
      <c r="W78" s="685">
        <f>IFERROR(0.001*INDEX(VehicleCostData!$V$13:$AB$102,MATCH($B78,VehicleCostData!$A$13:$A$102,0),MATCH(W$5,VehicleCostData!$V$12:$AB$12,0)),"")</f>
        <v>29.999529995407414</v>
      </c>
      <c r="X78" s="685">
        <f>IFERROR(0.001*INDEX(VehicleCostData!$V$13:$AB$102,MATCH($B78,VehicleCostData!$A$13:$A$102,0),MATCH(X$5,VehicleCostData!$V$12:$AB$12,0)),"")</f>
        <v>30.886095093331921</v>
      </c>
      <c r="Y78" s="685">
        <f>IFERROR(0.001*INDEX(VehicleCostData!$V$13:$AB$102,MATCH($B78,VehicleCostData!$A$13:$A$102,0),MATCH(Y$5,VehicleCostData!$V$12:$AB$12,0)),"")</f>
        <v>31.228617809205801</v>
      </c>
      <c r="Z78" s="685">
        <f>IFERROR(0.001*INDEX(VehicleCostData!$V$13:$AB$102,MATCH($B78,VehicleCostData!$A$13:$A$102,0),MATCH(Z$5,VehicleCostData!$V$12:$AB$12,0)),"")</f>
        <v>31.370703838633428</v>
      </c>
      <c r="AA78" s="652">
        <v>20</v>
      </c>
      <c r="AB78" s="652">
        <v>20</v>
      </c>
      <c r="AC78" s="694">
        <f t="shared" si="1"/>
        <v>2018</v>
      </c>
      <c r="AD78" s="688">
        <v>1</v>
      </c>
    </row>
    <row r="79" spans="2:30" x14ac:dyDescent="0.25">
      <c r="B79" s="385" t="str">
        <f>IF(ITEMS_Tech_N!D79="","",ITEMS_Tech_N!D79)</f>
        <v>*</v>
      </c>
      <c r="C79" s="232" t="str">
        <f>IF(ITEMS_Tech_N!E79="","",ITEMS_Tech_N!E79)</f>
        <v>Transport Freight - HCV1 Gas-N</v>
      </c>
      <c r="D79" s="219" t="s">
        <v>563</v>
      </c>
      <c r="E79" s="219" t="s">
        <v>253</v>
      </c>
      <c r="F79" s="377">
        <f>IFERROR(INDEX('EFF-N_ANTC'!$J$6:$N$96,MATCH($B79,'EFF-N_ANTC'!$A$6:$A$96,0),MATCH(F$5,'EFF-N_ANTC'!$J$5:$N$5,0)),"")</f>
        <v>0.23658855771912971</v>
      </c>
      <c r="G79" s="377">
        <f>IFERROR(INDEX('EFF-N_ANTC'!$J$6:$N$96,MATCH($B79,'EFF-N_ANTC'!$A$6:$A$96,0),MATCH(G$5,'EFF-N_ANTC'!$J$5:$N$5,0)),"")</f>
        <v>0.25508715046378805</v>
      </c>
      <c r="H79" s="377">
        <f>IFERROR(INDEX('EFF-N_ANTC'!$J$6:$N$96,MATCH($B79,'EFF-N_ANTC'!$A$6:$A$96,0),MATCH(H$5,'EFF-N_ANTC'!$J$5:$N$5,0)),"")</f>
        <v>0.28205684025891897</v>
      </c>
      <c r="I79" s="377">
        <f>IFERROR(INDEX('EFF-N_ANTC'!$J$6:$N$96,MATCH($B79,'EFF-N_ANTC'!$A$6:$A$96,0),MATCH(I$5,'EFF-N_ANTC'!$J$5:$N$5,0)),"")</f>
        <v>0.31187796402994067</v>
      </c>
      <c r="J79" s="652">
        <v>1</v>
      </c>
      <c r="K79" s="652">
        <v>1</v>
      </c>
      <c r="L79" s="652">
        <v>1</v>
      </c>
      <c r="M79" s="652">
        <v>1</v>
      </c>
      <c r="N79" s="652">
        <v>1</v>
      </c>
      <c r="O79" s="379">
        <f>IFERROR(INDEX('CapUnit-N_ANTC'!$C$6:$C$96,MATCH($B79,'CapUnit-N_ANTC'!$A$6:$A$96,0)),"")</f>
        <v>2.4E-2</v>
      </c>
      <c r="P79" s="684">
        <f>IFERROR(0.001*INDEX(VehicleCostData!$N$13:$T$102,MATCH($B79,VehicleCostData!$A$13:$A$102,0),MATCH(P$5,VehicleCostData!$N$12:$T$12,0)),"")</f>
        <v>531.43336858461009</v>
      </c>
      <c r="Q79" s="684">
        <f>IFERROR(0.001*INDEX(VehicleCostData!$N$13:$T$102,MATCH($B79,VehicleCostData!$A$13:$A$102,0),MATCH(Q$5,VehicleCostData!$N$12:$T$12,0)),"")</f>
        <v>540.08959568363241</v>
      </c>
      <c r="R79" s="684">
        <f>IFERROR(0.001*INDEX(VehicleCostData!$N$13:$T$102,MATCH($B79,VehicleCostData!$A$13:$A$102,0),MATCH(R$5,VehicleCostData!$N$12:$T$12,0)),"")</f>
        <v>548.74582278265507</v>
      </c>
      <c r="S79" s="684">
        <f>IFERROR(0.001*INDEX(VehicleCostData!$N$13:$T$102,MATCH($B79,VehicleCostData!$A$13:$A$102,0),MATCH(S$5,VehicleCostData!$N$12:$T$12,0)),"")</f>
        <v>554.77116992257743</v>
      </c>
      <c r="T79" s="684">
        <f>IFERROR(0.001*INDEX(VehicleCostData!$N$13:$T$102,MATCH($B79,VehicleCostData!$A$13:$A$102,0),MATCH(T$5,VehicleCostData!$N$12:$T$12,0)),"")</f>
        <v>560.7965170624999</v>
      </c>
      <c r="U79" s="684">
        <f>IFERROR(0.001*INDEX(VehicleCostData!$N$13:$T$102,MATCH($B79,VehicleCostData!$A$13:$A$102,0),MATCH(U$5,VehicleCostData!$N$12:$T$12,0)),"")</f>
        <v>564.26965287362793</v>
      </c>
      <c r="V79" s="684">
        <f>IFERROR(0.001*INDEX(VehicleCostData!$N$13:$T$102,MATCH($B79,VehicleCostData!$A$13:$A$102,0),MATCH(V$5,VehicleCostData!$N$12:$T$12,0)),"")</f>
        <v>567.74278868475642</v>
      </c>
      <c r="W79" s="685">
        <f>IFERROR(0.001*INDEX(VehicleCostData!$V$13:$AB$102,MATCH($B79,VehicleCostData!$A$13:$A$102,0),MATCH(W$5,VehicleCostData!$V$12:$AB$12,0)),"")</f>
        <v>14.348700951784471</v>
      </c>
      <c r="X79" s="685">
        <f>IFERROR(0.001*INDEX(VehicleCostData!$V$13:$AB$102,MATCH($B79,VehicleCostData!$A$13:$A$102,0),MATCH(X$5,VehicleCostData!$V$12:$AB$12,0)),"")</f>
        <v>14.816137215131684</v>
      </c>
      <c r="Y79" s="685">
        <f>IFERROR(0.001*INDEX(VehicleCostData!$V$13:$AB$102,MATCH($B79,VehicleCostData!$A$13:$A$102,0),MATCH(Y$5,VehicleCostData!$V$12:$AB$12,0)),"")</f>
        <v>15.141505960687496</v>
      </c>
      <c r="Z79" s="685">
        <f>IFERROR(0.001*INDEX(VehicleCostData!$V$13:$AB$102,MATCH($B79,VehicleCostData!$A$13:$A$102,0),MATCH(Z$5,VehicleCostData!$V$12:$AB$12,0)),"")</f>
        <v>15.329055294488422</v>
      </c>
      <c r="AA79" s="652">
        <v>20</v>
      </c>
      <c r="AB79" s="652">
        <v>20</v>
      </c>
      <c r="AC79" s="694">
        <f t="shared" si="1"/>
        <v>2080</v>
      </c>
      <c r="AD79" s="688">
        <v>3</v>
      </c>
    </row>
    <row r="80" spans="2:30" x14ac:dyDescent="0.25">
      <c r="B80" s="385" t="str">
        <f>IF(ITEMS_Tech_N!D80="","",ITEMS_Tech_N!D80)</f>
        <v>*</v>
      </c>
      <c r="C80" s="232" t="str">
        <f>IF(ITEMS_Tech_N!E80="","",ITEMS_Tech_N!E80)</f>
        <v>Transport Freight - HCV2 Gas-N</v>
      </c>
      <c r="D80" s="219" t="s">
        <v>563</v>
      </c>
      <c r="E80" s="219" t="s">
        <v>259</v>
      </c>
      <c r="F80" s="377">
        <f>IFERROR(INDEX('EFF-N_ANTC'!$J$6:$N$96,MATCH($B80,'EFF-N_ANTC'!$A$6:$A$96,0),MATCH(F$5,'EFF-N_ANTC'!$J$5:$N$5,0)),"")</f>
        <v>0.23658855771912971</v>
      </c>
      <c r="G80" s="377">
        <f>IFERROR(INDEX('EFF-N_ANTC'!$J$6:$N$96,MATCH($B80,'EFF-N_ANTC'!$A$6:$A$96,0),MATCH(G$5,'EFF-N_ANTC'!$J$5:$N$5,0)),"")</f>
        <v>0.25508715046378805</v>
      </c>
      <c r="H80" s="377">
        <f>IFERROR(INDEX('EFF-N_ANTC'!$J$6:$N$96,MATCH($B80,'EFF-N_ANTC'!$A$6:$A$96,0),MATCH(H$5,'EFF-N_ANTC'!$J$5:$N$5,0)),"")</f>
        <v>0.28205684025891897</v>
      </c>
      <c r="I80" s="377">
        <f>IFERROR(INDEX('EFF-N_ANTC'!$J$6:$N$96,MATCH($B80,'EFF-N_ANTC'!$A$6:$A$96,0),MATCH(I$5,'EFF-N_ANTC'!$J$5:$N$5,0)),"")</f>
        <v>0.31187796402994067</v>
      </c>
      <c r="J80" s="652">
        <v>1</v>
      </c>
      <c r="K80" s="652">
        <v>1</v>
      </c>
      <c r="L80" s="652">
        <v>1</v>
      </c>
      <c r="M80" s="652">
        <v>1</v>
      </c>
      <c r="N80" s="652">
        <v>1</v>
      </c>
      <c r="O80" s="379">
        <f>IFERROR(INDEX('CapUnit-N_ANTC'!$C$6:$C$96,MATCH($B80,'CapUnit-N_ANTC'!$A$6:$A$96,0)),"")</f>
        <v>2.4E-2</v>
      </c>
      <c r="P80" s="684">
        <f>IFERROR(0.001*INDEX(VehicleCostData!$N$13:$T$102,MATCH($B80,VehicleCostData!$A$13:$A$102,0),MATCH(P$5,VehicleCostData!$N$12:$T$12,0)),"")</f>
        <v>531.43336858461009</v>
      </c>
      <c r="Q80" s="684">
        <f>IFERROR(0.001*INDEX(VehicleCostData!$N$13:$T$102,MATCH($B80,VehicleCostData!$A$13:$A$102,0),MATCH(Q$5,VehicleCostData!$N$12:$T$12,0)),"")</f>
        <v>540.08959568363241</v>
      </c>
      <c r="R80" s="684">
        <f>IFERROR(0.001*INDEX(VehicleCostData!$N$13:$T$102,MATCH($B80,VehicleCostData!$A$13:$A$102,0),MATCH(R$5,VehicleCostData!$N$12:$T$12,0)),"")</f>
        <v>548.74582278265507</v>
      </c>
      <c r="S80" s="684">
        <f>IFERROR(0.001*INDEX(VehicleCostData!$N$13:$T$102,MATCH($B80,VehicleCostData!$A$13:$A$102,0),MATCH(S$5,VehicleCostData!$N$12:$T$12,0)),"")</f>
        <v>554.77116992257743</v>
      </c>
      <c r="T80" s="684">
        <f>IFERROR(0.001*INDEX(VehicleCostData!$N$13:$T$102,MATCH($B80,VehicleCostData!$A$13:$A$102,0),MATCH(T$5,VehicleCostData!$N$12:$T$12,0)),"")</f>
        <v>560.7965170624999</v>
      </c>
      <c r="U80" s="684">
        <f>IFERROR(0.001*INDEX(VehicleCostData!$N$13:$T$102,MATCH($B80,VehicleCostData!$A$13:$A$102,0),MATCH(U$5,VehicleCostData!$N$12:$T$12,0)),"")</f>
        <v>564.26965287362793</v>
      </c>
      <c r="V80" s="684">
        <f>IFERROR(0.001*INDEX(VehicleCostData!$N$13:$T$102,MATCH($B80,VehicleCostData!$A$13:$A$102,0),MATCH(V$5,VehicleCostData!$N$12:$T$12,0)),"")</f>
        <v>567.74278868475642</v>
      </c>
      <c r="W80" s="685">
        <f>IFERROR(0.001*INDEX(VehicleCostData!$V$13:$AB$102,MATCH($B80,VehicleCostData!$A$13:$A$102,0),MATCH(W$5,VehicleCostData!$V$12:$AB$12,0)),"")</f>
        <v>14.348700951784471</v>
      </c>
      <c r="X80" s="685">
        <f>IFERROR(0.001*INDEX(VehicleCostData!$V$13:$AB$102,MATCH($B80,VehicleCostData!$A$13:$A$102,0),MATCH(X$5,VehicleCostData!$V$12:$AB$12,0)),"")</f>
        <v>14.816137215131684</v>
      </c>
      <c r="Y80" s="685">
        <f>IFERROR(0.001*INDEX(VehicleCostData!$V$13:$AB$102,MATCH($B80,VehicleCostData!$A$13:$A$102,0),MATCH(Y$5,VehicleCostData!$V$12:$AB$12,0)),"")</f>
        <v>15.141505960687496</v>
      </c>
      <c r="Z80" s="685">
        <f>IFERROR(0.001*INDEX(VehicleCostData!$V$13:$AB$102,MATCH($B80,VehicleCostData!$A$13:$A$102,0),MATCH(Z$5,VehicleCostData!$V$12:$AB$12,0)),"")</f>
        <v>15.329055294488422</v>
      </c>
      <c r="AA80" s="652">
        <v>20</v>
      </c>
      <c r="AB80" s="652">
        <v>20</v>
      </c>
      <c r="AC80" s="694">
        <f t="shared" si="1"/>
        <v>2080</v>
      </c>
      <c r="AD80" s="688">
        <v>3</v>
      </c>
    </row>
    <row r="81" spans="2:30" x14ac:dyDescent="0.25">
      <c r="B81" s="385" t="str">
        <f>IF(ITEMS_Tech_N!D81="","",ITEMS_Tech_N!D81)</f>
        <v>*</v>
      </c>
      <c r="C81" s="232" t="str">
        <f>IF(ITEMS_Tech_N!E81="","",ITEMS_Tech_N!E81)</f>
        <v>Transport Freight - HCV3 Gas-N</v>
      </c>
      <c r="D81" s="219" t="s">
        <v>563</v>
      </c>
      <c r="E81" s="219" t="s">
        <v>261</v>
      </c>
      <c r="F81" s="377">
        <f>IFERROR(INDEX('EFF-N_ANTC'!$J$6:$N$96,MATCH($B81,'EFF-N_ANTC'!$A$6:$A$96,0),MATCH(F$5,'EFF-N_ANTC'!$J$5:$N$5,0)),"")</f>
        <v>0.23658855771912971</v>
      </c>
      <c r="G81" s="377">
        <f>IFERROR(INDEX('EFF-N_ANTC'!$J$6:$N$96,MATCH($B81,'EFF-N_ANTC'!$A$6:$A$96,0),MATCH(G$5,'EFF-N_ANTC'!$J$5:$N$5,0)),"")</f>
        <v>0.25508715046378805</v>
      </c>
      <c r="H81" s="377">
        <f>IFERROR(INDEX('EFF-N_ANTC'!$J$6:$N$96,MATCH($B81,'EFF-N_ANTC'!$A$6:$A$96,0),MATCH(H$5,'EFF-N_ANTC'!$J$5:$N$5,0)),"")</f>
        <v>0.28205684025891897</v>
      </c>
      <c r="I81" s="377">
        <f>IFERROR(INDEX('EFF-N_ANTC'!$J$6:$N$96,MATCH($B81,'EFF-N_ANTC'!$A$6:$A$96,0),MATCH(I$5,'EFF-N_ANTC'!$J$5:$N$5,0)),"")</f>
        <v>0.31187796402994067</v>
      </c>
      <c r="J81" s="652">
        <v>1</v>
      </c>
      <c r="K81" s="652">
        <v>1</v>
      </c>
      <c r="L81" s="652">
        <v>1</v>
      </c>
      <c r="M81" s="652">
        <v>1</v>
      </c>
      <c r="N81" s="652">
        <v>1</v>
      </c>
      <c r="O81" s="379">
        <f>IFERROR(INDEX('CapUnit-N_ANTC'!$C$6:$C$96,MATCH($B81,'CapUnit-N_ANTC'!$A$6:$A$96,0)),"")</f>
        <v>2.4E-2</v>
      </c>
      <c r="P81" s="684">
        <f>IFERROR(0.001*INDEX(VehicleCostData!$N$13:$T$102,MATCH($B81,VehicleCostData!$A$13:$A$102,0),MATCH(P$5,VehicleCostData!$N$12:$T$12,0)),"")</f>
        <v>531.43336858461009</v>
      </c>
      <c r="Q81" s="684">
        <f>IFERROR(0.001*INDEX(VehicleCostData!$N$13:$T$102,MATCH($B81,VehicleCostData!$A$13:$A$102,0),MATCH(Q$5,VehicleCostData!$N$12:$T$12,0)),"")</f>
        <v>540.08959568363241</v>
      </c>
      <c r="R81" s="684">
        <f>IFERROR(0.001*INDEX(VehicleCostData!$N$13:$T$102,MATCH($B81,VehicleCostData!$A$13:$A$102,0),MATCH(R$5,VehicleCostData!$N$12:$T$12,0)),"")</f>
        <v>548.74582278265507</v>
      </c>
      <c r="S81" s="684">
        <f>IFERROR(0.001*INDEX(VehicleCostData!$N$13:$T$102,MATCH($B81,VehicleCostData!$A$13:$A$102,0),MATCH(S$5,VehicleCostData!$N$12:$T$12,0)),"")</f>
        <v>554.77116992257743</v>
      </c>
      <c r="T81" s="684">
        <f>IFERROR(0.001*INDEX(VehicleCostData!$N$13:$T$102,MATCH($B81,VehicleCostData!$A$13:$A$102,0),MATCH(T$5,VehicleCostData!$N$12:$T$12,0)),"")</f>
        <v>560.7965170624999</v>
      </c>
      <c r="U81" s="684">
        <f>IFERROR(0.001*INDEX(VehicleCostData!$N$13:$T$102,MATCH($B81,VehicleCostData!$A$13:$A$102,0),MATCH(U$5,VehicleCostData!$N$12:$T$12,0)),"")</f>
        <v>564.26965287362793</v>
      </c>
      <c r="V81" s="684">
        <f>IFERROR(0.001*INDEX(VehicleCostData!$N$13:$T$102,MATCH($B81,VehicleCostData!$A$13:$A$102,0),MATCH(V$5,VehicleCostData!$N$12:$T$12,0)),"")</f>
        <v>567.74278868475642</v>
      </c>
      <c r="W81" s="685">
        <f>IFERROR(0.001*INDEX(VehicleCostData!$V$13:$AB$102,MATCH($B81,VehicleCostData!$A$13:$A$102,0),MATCH(W$5,VehicleCostData!$V$12:$AB$12,0)),"")</f>
        <v>14.348700951784471</v>
      </c>
      <c r="X81" s="685">
        <f>IFERROR(0.001*INDEX(VehicleCostData!$V$13:$AB$102,MATCH($B81,VehicleCostData!$A$13:$A$102,0),MATCH(X$5,VehicleCostData!$V$12:$AB$12,0)),"")</f>
        <v>14.816137215131684</v>
      </c>
      <c r="Y81" s="685">
        <f>IFERROR(0.001*INDEX(VehicleCostData!$V$13:$AB$102,MATCH($B81,VehicleCostData!$A$13:$A$102,0),MATCH(Y$5,VehicleCostData!$V$12:$AB$12,0)),"")</f>
        <v>15.141505960687496</v>
      </c>
      <c r="Z81" s="685">
        <f>IFERROR(0.001*INDEX(VehicleCostData!$V$13:$AB$102,MATCH($B81,VehicleCostData!$A$13:$A$102,0),MATCH(Z$5,VehicleCostData!$V$12:$AB$12,0)),"")</f>
        <v>15.329055294488422</v>
      </c>
      <c r="AA81" s="652">
        <v>20</v>
      </c>
      <c r="AB81" s="652">
        <v>20</v>
      </c>
      <c r="AC81" s="694">
        <f t="shared" si="1"/>
        <v>2080</v>
      </c>
      <c r="AD81" s="688">
        <v>3</v>
      </c>
    </row>
    <row r="82" spans="2:30" x14ac:dyDescent="0.25">
      <c r="B82" s="385" t="str">
        <f>IF(ITEMS_Tech_N!D82="","",ITEMS_Tech_N!D82)</f>
        <v>*</v>
      </c>
      <c r="C82" s="232" t="str">
        <f>IF(ITEMS_Tech_N!E82="","",ITEMS_Tech_N!E82)</f>
        <v>Transport Freight - HCV4 Gas-N</v>
      </c>
      <c r="D82" s="219" t="s">
        <v>563</v>
      </c>
      <c r="E82" s="219" t="s">
        <v>263</v>
      </c>
      <c r="F82" s="377">
        <f>IFERROR(INDEX('EFF-N_ANTC'!$J$6:$N$96,MATCH($B82,'EFF-N_ANTC'!$A$6:$A$96,0),MATCH(F$5,'EFF-N_ANTC'!$J$5:$N$5,0)),"")</f>
        <v>0.23658855771912971</v>
      </c>
      <c r="G82" s="377">
        <f>IFERROR(INDEX('EFF-N_ANTC'!$J$6:$N$96,MATCH($B82,'EFF-N_ANTC'!$A$6:$A$96,0),MATCH(G$5,'EFF-N_ANTC'!$J$5:$N$5,0)),"")</f>
        <v>0.25508715046378805</v>
      </c>
      <c r="H82" s="377">
        <f>IFERROR(INDEX('EFF-N_ANTC'!$J$6:$N$96,MATCH($B82,'EFF-N_ANTC'!$A$6:$A$96,0),MATCH(H$5,'EFF-N_ANTC'!$J$5:$N$5,0)),"")</f>
        <v>0.28205684025891897</v>
      </c>
      <c r="I82" s="377">
        <f>IFERROR(INDEX('EFF-N_ANTC'!$J$6:$N$96,MATCH($B82,'EFF-N_ANTC'!$A$6:$A$96,0),MATCH(I$5,'EFF-N_ANTC'!$J$5:$N$5,0)),"")</f>
        <v>0.31187796402994067</v>
      </c>
      <c r="J82" s="652">
        <v>1</v>
      </c>
      <c r="K82" s="652">
        <v>1</v>
      </c>
      <c r="L82" s="652">
        <v>1</v>
      </c>
      <c r="M82" s="652">
        <v>1</v>
      </c>
      <c r="N82" s="652">
        <v>1</v>
      </c>
      <c r="O82" s="379">
        <f>IFERROR(INDEX('CapUnit-N_ANTC'!$C$6:$C$96,MATCH($B82,'CapUnit-N_ANTC'!$A$6:$A$96,0)),"")</f>
        <v>2.4E-2</v>
      </c>
      <c r="P82" s="684">
        <f>IFERROR(0.001*INDEX(VehicleCostData!$N$13:$T$102,MATCH($B82,VehicleCostData!$A$13:$A$102,0),MATCH(P$5,VehicleCostData!$N$12:$T$12,0)),"")</f>
        <v>531.43336858461009</v>
      </c>
      <c r="Q82" s="684">
        <f>IFERROR(0.001*INDEX(VehicleCostData!$N$13:$T$102,MATCH($B82,VehicleCostData!$A$13:$A$102,0),MATCH(Q$5,VehicleCostData!$N$12:$T$12,0)),"")</f>
        <v>540.08959568363241</v>
      </c>
      <c r="R82" s="684">
        <f>IFERROR(0.001*INDEX(VehicleCostData!$N$13:$T$102,MATCH($B82,VehicleCostData!$A$13:$A$102,0),MATCH(R$5,VehicleCostData!$N$12:$T$12,0)),"")</f>
        <v>548.74582278265507</v>
      </c>
      <c r="S82" s="684">
        <f>IFERROR(0.001*INDEX(VehicleCostData!$N$13:$T$102,MATCH($B82,VehicleCostData!$A$13:$A$102,0),MATCH(S$5,VehicleCostData!$N$12:$T$12,0)),"")</f>
        <v>554.77116992257743</v>
      </c>
      <c r="T82" s="684">
        <f>IFERROR(0.001*INDEX(VehicleCostData!$N$13:$T$102,MATCH($B82,VehicleCostData!$A$13:$A$102,0),MATCH(T$5,VehicleCostData!$N$12:$T$12,0)),"")</f>
        <v>560.7965170624999</v>
      </c>
      <c r="U82" s="684">
        <f>IFERROR(0.001*INDEX(VehicleCostData!$N$13:$T$102,MATCH($B82,VehicleCostData!$A$13:$A$102,0),MATCH(U$5,VehicleCostData!$N$12:$T$12,0)),"")</f>
        <v>564.26965287362793</v>
      </c>
      <c r="V82" s="684">
        <f>IFERROR(0.001*INDEX(VehicleCostData!$N$13:$T$102,MATCH($B82,VehicleCostData!$A$13:$A$102,0),MATCH(V$5,VehicleCostData!$N$12:$T$12,0)),"")</f>
        <v>567.74278868475642</v>
      </c>
      <c r="W82" s="685">
        <f>IFERROR(0.001*INDEX(VehicleCostData!$V$13:$AB$102,MATCH($B82,VehicleCostData!$A$13:$A$102,0),MATCH(W$5,VehicleCostData!$V$12:$AB$12,0)),"")</f>
        <v>14.348700951784471</v>
      </c>
      <c r="X82" s="685">
        <f>IFERROR(0.001*INDEX(VehicleCostData!$V$13:$AB$102,MATCH($B82,VehicleCostData!$A$13:$A$102,0),MATCH(X$5,VehicleCostData!$V$12:$AB$12,0)),"")</f>
        <v>14.816137215131684</v>
      </c>
      <c r="Y82" s="685">
        <f>IFERROR(0.001*INDEX(VehicleCostData!$V$13:$AB$102,MATCH($B82,VehicleCostData!$A$13:$A$102,0),MATCH(Y$5,VehicleCostData!$V$12:$AB$12,0)),"")</f>
        <v>15.141505960687496</v>
      </c>
      <c r="Z82" s="685">
        <f>IFERROR(0.001*INDEX(VehicleCostData!$V$13:$AB$102,MATCH($B82,VehicleCostData!$A$13:$A$102,0),MATCH(Z$5,VehicleCostData!$V$12:$AB$12,0)),"")</f>
        <v>15.329055294488422</v>
      </c>
      <c r="AA82" s="652">
        <v>20</v>
      </c>
      <c r="AB82" s="652">
        <v>20</v>
      </c>
      <c r="AC82" s="694">
        <f t="shared" si="1"/>
        <v>2080</v>
      </c>
      <c r="AD82" s="688">
        <v>3</v>
      </c>
    </row>
    <row r="83" spans="2:30" x14ac:dyDescent="0.25">
      <c r="B83" s="385" t="str">
        <f>IF(ITEMS_Tech_N!D83="","",ITEMS_Tech_N!D83)</f>
        <v>*</v>
      </c>
      <c r="C83" s="232" t="str">
        <f>IF(ITEMS_Tech_N!E83="","",ITEMS_Tech_N!E83)</f>
        <v>Transport Freight - HCV5 Gas-N</v>
      </c>
      <c r="D83" s="219" t="s">
        <v>563</v>
      </c>
      <c r="E83" s="219" t="s">
        <v>265</v>
      </c>
      <c r="F83" s="377">
        <f>IFERROR(INDEX('EFF-N_ANTC'!$J$6:$N$96,MATCH($B83,'EFF-N_ANTC'!$A$6:$A$96,0),MATCH(F$5,'EFF-N_ANTC'!$J$5:$N$5,0)),"")</f>
        <v>0.23658855771912971</v>
      </c>
      <c r="G83" s="377">
        <f>IFERROR(INDEX('EFF-N_ANTC'!$J$6:$N$96,MATCH($B83,'EFF-N_ANTC'!$A$6:$A$96,0),MATCH(G$5,'EFF-N_ANTC'!$J$5:$N$5,0)),"")</f>
        <v>0.25508715046378805</v>
      </c>
      <c r="H83" s="377">
        <f>IFERROR(INDEX('EFF-N_ANTC'!$J$6:$N$96,MATCH($B83,'EFF-N_ANTC'!$A$6:$A$96,0),MATCH(H$5,'EFF-N_ANTC'!$J$5:$N$5,0)),"")</f>
        <v>0.28205684025891897</v>
      </c>
      <c r="I83" s="377">
        <f>IFERROR(INDEX('EFF-N_ANTC'!$J$6:$N$96,MATCH($B83,'EFF-N_ANTC'!$A$6:$A$96,0),MATCH(I$5,'EFF-N_ANTC'!$J$5:$N$5,0)),"")</f>
        <v>0.31187796402994067</v>
      </c>
      <c r="J83" s="652">
        <v>1</v>
      </c>
      <c r="K83" s="652">
        <v>1</v>
      </c>
      <c r="L83" s="652">
        <v>1</v>
      </c>
      <c r="M83" s="652">
        <v>1</v>
      </c>
      <c r="N83" s="652">
        <v>1</v>
      </c>
      <c r="O83" s="379">
        <f>IFERROR(INDEX('CapUnit-N_ANTC'!$C$6:$C$96,MATCH($B83,'CapUnit-N_ANTC'!$A$6:$A$96,0)),"")</f>
        <v>2.4E-2</v>
      </c>
      <c r="P83" s="684">
        <f>IFERROR(0.001*INDEX(VehicleCostData!$N$13:$T$102,MATCH($B83,VehicleCostData!$A$13:$A$102,0),MATCH(P$5,VehicleCostData!$N$12:$T$12,0)),"")</f>
        <v>531.43336858461009</v>
      </c>
      <c r="Q83" s="684">
        <f>IFERROR(0.001*INDEX(VehicleCostData!$N$13:$T$102,MATCH($B83,VehicleCostData!$A$13:$A$102,0),MATCH(Q$5,VehicleCostData!$N$12:$T$12,0)),"")</f>
        <v>540.08959568363241</v>
      </c>
      <c r="R83" s="684">
        <f>IFERROR(0.001*INDEX(VehicleCostData!$N$13:$T$102,MATCH($B83,VehicleCostData!$A$13:$A$102,0),MATCH(R$5,VehicleCostData!$N$12:$T$12,0)),"")</f>
        <v>548.74582278265507</v>
      </c>
      <c r="S83" s="684">
        <f>IFERROR(0.001*INDEX(VehicleCostData!$N$13:$T$102,MATCH($B83,VehicleCostData!$A$13:$A$102,0),MATCH(S$5,VehicleCostData!$N$12:$T$12,0)),"")</f>
        <v>554.77116992257743</v>
      </c>
      <c r="T83" s="684">
        <f>IFERROR(0.001*INDEX(VehicleCostData!$N$13:$T$102,MATCH($B83,VehicleCostData!$A$13:$A$102,0),MATCH(T$5,VehicleCostData!$N$12:$T$12,0)),"")</f>
        <v>560.7965170624999</v>
      </c>
      <c r="U83" s="684">
        <f>IFERROR(0.001*INDEX(VehicleCostData!$N$13:$T$102,MATCH($B83,VehicleCostData!$A$13:$A$102,0),MATCH(U$5,VehicleCostData!$N$12:$T$12,0)),"")</f>
        <v>564.26965287362793</v>
      </c>
      <c r="V83" s="684">
        <f>IFERROR(0.001*INDEX(VehicleCostData!$N$13:$T$102,MATCH($B83,VehicleCostData!$A$13:$A$102,0),MATCH(V$5,VehicleCostData!$N$12:$T$12,0)),"")</f>
        <v>567.74278868475642</v>
      </c>
      <c r="W83" s="685">
        <f>IFERROR(0.001*INDEX(VehicleCostData!$V$13:$AB$102,MATCH($B83,VehicleCostData!$A$13:$A$102,0),MATCH(W$5,VehicleCostData!$V$12:$AB$12,0)),"")</f>
        <v>14.348700951784471</v>
      </c>
      <c r="X83" s="685">
        <f>IFERROR(0.001*INDEX(VehicleCostData!$V$13:$AB$102,MATCH($B83,VehicleCostData!$A$13:$A$102,0),MATCH(X$5,VehicleCostData!$V$12:$AB$12,0)),"")</f>
        <v>14.816137215131684</v>
      </c>
      <c r="Y83" s="685">
        <f>IFERROR(0.001*INDEX(VehicleCostData!$V$13:$AB$102,MATCH($B83,VehicleCostData!$A$13:$A$102,0),MATCH(Y$5,VehicleCostData!$V$12:$AB$12,0)),"")</f>
        <v>15.141505960687496</v>
      </c>
      <c r="Z83" s="685">
        <f>IFERROR(0.001*INDEX(VehicleCostData!$V$13:$AB$102,MATCH($B83,VehicleCostData!$A$13:$A$102,0),MATCH(Z$5,VehicleCostData!$V$12:$AB$12,0)),"")</f>
        <v>15.329055294488422</v>
      </c>
      <c r="AA83" s="652">
        <v>20</v>
      </c>
      <c r="AB83" s="652">
        <v>20</v>
      </c>
      <c r="AC83" s="694">
        <f t="shared" si="1"/>
        <v>2080</v>
      </c>
      <c r="AD83" s="688">
        <v>3</v>
      </c>
    </row>
    <row r="84" spans="2:30" x14ac:dyDescent="0.25">
      <c r="B84" s="385" t="str">
        <f>IF(ITEMS_Tech_N!D84="","",ITEMS_Tech_N!D84)</f>
        <v>*</v>
      </c>
      <c r="C84" s="232" t="str">
        <f>IF(ITEMS_Tech_N!E84="","",ITEMS_Tech_N!E84)</f>
        <v>Transport Freight - HCV6 Gas-N</v>
      </c>
      <c r="D84" s="219" t="s">
        <v>563</v>
      </c>
      <c r="E84" s="219" t="s">
        <v>267</v>
      </c>
      <c r="F84" s="377">
        <f>IFERROR(INDEX('EFF-N_ANTC'!$J$6:$N$96,MATCH($B84,'EFF-N_ANTC'!$A$6:$A$96,0),MATCH(F$5,'EFF-N_ANTC'!$J$5:$N$5,0)),"")</f>
        <v>0.23658855771912971</v>
      </c>
      <c r="G84" s="377">
        <f>IFERROR(INDEX('EFF-N_ANTC'!$J$6:$N$96,MATCH($B84,'EFF-N_ANTC'!$A$6:$A$96,0),MATCH(G$5,'EFF-N_ANTC'!$J$5:$N$5,0)),"")</f>
        <v>0.25508715046378805</v>
      </c>
      <c r="H84" s="377">
        <f>IFERROR(INDEX('EFF-N_ANTC'!$J$6:$N$96,MATCH($B84,'EFF-N_ANTC'!$A$6:$A$96,0),MATCH(H$5,'EFF-N_ANTC'!$J$5:$N$5,0)),"")</f>
        <v>0.28205684025891897</v>
      </c>
      <c r="I84" s="377">
        <f>IFERROR(INDEX('EFF-N_ANTC'!$J$6:$N$96,MATCH($B84,'EFF-N_ANTC'!$A$6:$A$96,0),MATCH(I$5,'EFF-N_ANTC'!$J$5:$N$5,0)),"")</f>
        <v>0.31187796402994067</v>
      </c>
      <c r="J84" s="652">
        <v>1</v>
      </c>
      <c r="K84" s="652">
        <v>1</v>
      </c>
      <c r="L84" s="652">
        <v>1</v>
      </c>
      <c r="M84" s="652">
        <v>1</v>
      </c>
      <c r="N84" s="652">
        <v>1</v>
      </c>
      <c r="O84" s="379">
        <f>IFERROR(INDEX('CapUnit-N_ANTC'!$C$6:$C$96,MATCH($B84,'CapUnit-N_ANTC'!$A$6:$A$96,0)),"")</f>
        <v>2.4E-2</v>
      </c>
      <c r="P84" s="684">
        <f>IFERROR(0.001*INDEX(VehicleCostData!$N$13:$T$102,MATCH($B84,VehicleCostData!$A$13:$A$102,0),MATCH(P$5,VehicleCostData!$N$12:$T$12,0)),"")</f>
        <v>531.43336858461009</v>
      </c>
      <c r="Q84" s="684">
        <f>IFERROR(0.001*INDEX(VehicleCostData!$N$13:$T$102,MATCH($B84,VehicleCostData!$A$13:$A$102,0),MATCH(Q$5,VehicleCostData!$N$12:$T$12,0)),"")</f>
        <v>540.08959568363241</v>
      </c>
      <c r="R84" s="684">
        <f>IFERROR(0.001*INDEX(VehicleCostData!$N$13:$T$102,MATCH($B84,VehicleCostData!$A$13:$A$102,0),MATCH(R$5,VehicleCostData!$N$12:$T$12,0)),"")</f>
        <v>548.74582278265507</v>
      </c>
      <c r="S84" s="684">
        <f>IFERROR(0.001*INDEX(VehicleCostData!$N$13:$T$102,MATCH($B84,VehicleCostData!$A$13:$A$102,0),MATCH(S$5,VehicleCostData!$N$12:$T$12,0)),"")</f>
        <v>554.77116992257743</v>
      </c>
      <c r="T84" s="684">
        <f>IFERROR(0.001*INDEX(VehicleCostData!$N$13:$T$102,MATCH($B84,VehicleCostData!$A$13:$A$102,0),MATCH(T$5,VehicleCostData!$N$12:$T$12,0)),"")</f>
        <v>560.7965170624999</v>
      </c>
      <c r="U84" s="684">
        <f>IFERROR(0.001*INDEX(VehicleCostData!$N$13:$T$102,MATCH($B84,VehicleCostData!$A$13:$A$102,0),MATCH(U$5,VehicleCostData!$N$12:$T$12,0)),"")</f>
        <v>564.26965287362793</v>
      </c>
      <c r="V84" s="684">
        <f>IFERROR(0.001*INDEX(VehicleCostData!$N$13:$T$102,MATCH($B84,VehicleCostData!$A$13:$A$102,0),MATCH(V$5,VehicleCostData!$N$12:$T$12,0)),"")</f>
        <v>567.74278868475642</v>
      </c>
      <c r="W84" s="685">
        <f>IFERROR(0.001*INDEX(VehicleCostData!$V$13:$AB$102,MATCH($B84,VehicleCostData!$A$13:$A$102,0),MATCH(W$5,VehicleCostData!$V$12:$AB$12,0)),"")</f>
        <v>14.348700951784471</v>
      </c>
      <c r="X84" s="685">
        <f>IFERROR(0.001*INDEX(VehicleCostData!$V$13:$AB$102,MATCH($B84,VehicleCostData!$A$13:$A$102,0),MATCH(X$5,VehicleCostData!$V$12:$AB$12,0)),"")</f>
        <v>14.816137215131684</v>
      </c>
      <c r="Y84" s="685">
        <f>IFERROR(0.001*INDEX(VehicleCostData!$V$13:$AB$102,MATCH($B84,VehicleCostData!$A$13:$A$102,0),MATCH(Y$5,VehicleCostData!$V$12:$AB$12,0)),"")</f>
        <v>15.141505960687496</v>
      </c>
      <c r="Z84" s="685">
        <f>IFERROR(0.001*INDEX(VehicleCostData!$V$13:$AB$102,MATCH($B84,VehicleCostData!$A$13:$A$102,0),MATCH(Z$5,VehicleCostData!$V$12:$AB$12,0)),"")</f>
        <v>15.329055294488422</v>
      </c>
      <c r="AA84" s="652">
        <v>20</v>
      </c>
      <c r="AB84" s="652">
        <v>20</v>
      </c>
      <c r="AC84" s="694">
        <f t="shared" si="1"/>
        <v>2080</v>
      </c>
      <c r="AD84" s="688">
        <v>3</v>
      </c>
    </row>
    <row r="85" spans="2:30" x14ac:dyDescent="0.25">
      <c r="B85" s="385" t="str">
        <f>IF(ITEMS_Tech_N!D85="","",ITEMS_Tech_N!D85)</f>
        <v>*</v>
      </c>
      <c r="C85" s="232" t="str">
        <f>IF(ITEMS_Tech_N!E85="","",ITEMS_Tech_N!E85)</f>
        <v>Transport Freight - HCV7 Gas-N</v>
      </c>
      <c r="D85" s="219" t="s">
        <v>563</v>
      </c>
      <c r="E85" s="219" t="s">
        <v>270</v>
      </c>
      <c r="F85" s="377">
        <f>IFERROR(INDEX('EFF-N_ANTC'!$J$6:$N$96,MATCH($B85,'EFF-N_ANTC'!$A$6:$A$96,0),MATCH(F$5,'EFF-N_ANTC'!$J$5:$N$5,0)),"")</f>
        <v>0.23658855771912971</v>
      </c>
      <c r="G85" s="377">
        <f>IFERROR(INDEX('EFF-N_ANTC'!$J$6:$N$96,MATCH($B85,'EFF-N_ANTC'!$A$6:$A$96,0),MATCH(G$5,'EFF-N_ANTC'!$J$5:$N$5,0)),"")</f>
        <v>0.25508715046378805</v>
      </c>
      <c r="H85" s="377">
        <f>IFERROR(INDEX('EFF-N_ANTC'!$J$6:$N$96,MATCH($B85,'EFF-N_ANTC'!$A$6:$A$96,0),MATCH(H$5,'EFF-N_ANTC'!$J$5:$N$5,0)),"")</f>
        <v>0.28205684025891897</v>
      </c>
      <c r="I85" s="377">
        <f>IFERROR(INDEX('EFF-N_ANTC'!$J$6:$N$96,MATCH($B85,'EFF-N_ANTC'!$A$6:$A$96,0),MATCH(I$5,'EFF-N_ANTC'!$J$5:$N$5,0)),"")</f>
        <v>0.31187796402994067</v>
      </c>
      <c r="J85" s="652">
        <v>1</v>
      </c>
      <c r="K85" s="652">
        <v>1</v>
      </c>
      <c r="L85" s="652">
        <v>1</v>
      </c>
      <c r="M85" s="652">
        <v>1</v>
      </c>
      <c r="N85" s="652">
        <v>1</v>
      </c>
      <c r="O85" s="379">
        <f>IFERROR(INDEX('CapUnit-N_ANTC'!$C$6:$C$96,MATCH($B85,'CapUnit-N_ANTC'!$A$6:$A$96,0)),"")</f>
        <v>2.4E-2</v>
      </c>
      <c r="P85" s="684">
        <f>IFERROR(0.001*INDEX(VehicleCostData!$N$13:$T$102,MATCH($B85,VehicleCostData!$A$13:$A$102,0),MATCH(P$5,VehicleCostData!$N$12:$T$12,0)),"")</f>
        <v>531.43336858461009</v>
      </c>
      <c r="Q85" s="684">
        <f>IFERROR(0.001*INDEX(VehicleCostData!$N$13:$T$102,MATCH($B85,VehicleCostData!$A$13:$A$102,0),MATCH(Q$5,VehicleCostData!$N$12:$T$12,0)),"")</f>
        <v>540.08959568363241</v>
      </c>
      <c r="R85" s="684">
        <f>IFERROR(0.001*INDEX(VehicleCostData!$N$13:$T$102,MATCH($B85,VehicleCostData!$A$13:$A$102,0),MATCH(R$5,VehicleCostData!$N$12:$T$12,0)),"")</f>
        <v>548.74582278265507</v>
      </c>
      <c r="S85" s="684">
        <f>IFERROR(0.001*INDEX(VehicleCostData!$N$13:$T$102,MATCH($B85,VehicleCostData!$A$13:$A$102,0),MATCH(S$5,VehicleCostData!$N$12:$T$12,0)),"")</f>
        <v>554.77116992257743</v>
      </c>
      <c r="T85" s="684">
        <f>IFERROR(0.001*INDEX(VehicleCostData!$N$13:$T$102,MATCH($B85,VehicleCostData!$A$13:$A$102,0),MATCH(T$5,VehicleCostData!$N$12:$T$12,0)),"")</f>
        <v>560.7965170624999</v>
      </c>
      <c r="U85" s="684">
        <f>IFERROR(0.001*INDEX(VehicleCostData!$N$13:$T$102,MATCH($B85,VehicleCostData!$A$13:$A$102,0),MATCH(U$5,VehicleCostData!$N$12:$T$12,0)),"")</f>
        <v>564.26965287362793</v>
      </c>
      <c r="V85" s="684">
        <f>IFERROR(0.001*INDEX(VehicleCostData!$N$13:$T$102,MATCH($B85,VehicleCostData!$A$13:$A$102,0),MATCH(V$5,VehicleCostData!$N$12:$T$12,0)),"")</f>
        <v>567.74278868475642</v>
      </c>
      <c r="W85" s="685">
        <f>IFERROR(0.001*INDEX(VehicleCostData!$V$13:$AB$102,MATCH($B85,VehicleCostData!$A$13:$A$102,0),MATCH(W$5,VehicleCostData!$V$12:$AB$12,0)),"")</f>
        <v>14.348700951784471</v>
      </c>
      <c r="X85" s="685">
        <f>IFERROR(0.001*INDEX(VehicleCostData!$V$13:$AB$102,MATCH($B85,VehicleCostData!$A$13:$A$102,0),MATCH(X$5,VehicleCostData!$V$12:$AB$12,0)),"")</f>
        <v>14.816137215131684</v>
      </c>
      <c r="Y85" s="685">
        <f>IFERROR(0.001*INDEX(VehicleCostData!$V$13:$AB$102,MATCH($B85,VehicleCostData!$A$13:$A$102,0),MATCH(Y$5,VehicleCostData!$V$12:$AB$12,0)),"")</f>
        <v>15.141505960687496</v>
      </c>
      <c r="Z85" s="685">
        <f>IFERROR(0.001*INDEX(VehicleCostData!$V$13:$AB$102,MATCH($B85,VehicleCostData!$A$13:$A$102,0),MATCH(Z$5,VehicleCostData!$V$12:$AB$12,0)),"")</f>
        <v>15.329055294488422</v>
      </c>
      <c r="AA85" s="652">
        <v>20</v>
      </c>
      <c r="AB85" s="652">
        <v>20</v>
      </c>
      <c r="AC85" s="694">
        <f t="shared" si="1"/>
        <v>2080</v>
      </c>
      <c r="AD85" s="688">
        <v>3</v>
      </c>
    </row>
    <row r="86" spans="2:30" x14ac:dyDescent="0.25">
      <c r="B86" s="385" t="str">
        <f>IF(ITEMS_Tech_N!D86="","",ITEMS_Tech_N!D86)</f>
        <v>*</v>
      </c>
      <c r="C86" s="232" t="str">
        <f>IF(ITEMS_Tech_N!E86="","",ITEMS_Tech_N!E86)</f>
        <v>Transport Freight - HCV8 Gas-N</v>
      </c>
      <c r="D86" s="219" t="s">
        <v>563</v>
      </c>
      <c r="E86" s="219" t="s">
        <v>272</v>
      </c>
      <c r="F86" s="377">
        <f>IFERROR(INDEX('EFF-N_ANTC'!$J$6:$N$96,MATCH($B86,'EFF-N_ANTC'!$A$6:$A$96,0),MATCH(F$5,'EFF-N_ANTC'!$J$5:$N$5,0)),"")</f>
        <v>0.23658855771912971</v>
      </c>
      <c r="G86" s="377">
        <f>IFERROR(INDEX('EFF-N_ANTC'!$J$6:$N$96,MATCH($B86,'EFF-N_ANTC'!$A$6:$A$96,0),MATCH(G$5,'EFF-N_ANTC'!$J$5:$N$5,0)),"")</f>
        <v>0.25508715046378805</v>
      </c>
      <c r="H86" s="377">
        <f>IFERROR(INDEX('EFF-N_ANTC'!$J$6:$N$96,MATCH($B86,'EFF-N_ANTC'!$A$6:$A$96,0),MATCH(H$5,'EFF-N_ANTC'!$J$5:$N$5,0)),"")</f>
        <v>0.28205684025891897</v>
      </c>
      <c r="I86" s="377">
        <f>IFERROR(INDEX('EFF-N_ANTC'!$J$6:$N$96,MATCH($B86,'EFF-N_ANTC'!$A$6:$A$96,0),MATCH(I$5,'EFF-N_ANTC'!$J$5:$N$5,0)),"")</f>
        <v>0.31187796402994067</v>
      </c>
      <c r="J86" s="652">
        <v>1</v>
      </c>
      <c r="K86" s="652">
        <v>1</v>
      </c>
      <c r="L86" s="652">
        <v>1</v>
      </c>
      <c r="M86" s="652">
        <v>1</v>
      </c>
      <c r="N86" s="652">
        <v>1</v>
      </c>
      <c r="O86" s="379">
        <f>IFERROR(INDEX('CapUnit-N_ANTC'!$C$6:$C$96,MATCH($B86,'CapUnit-N_ANTC'!$A$6:$A$96,0)),"")</f>
        <v>2.4E-2</v>
      </c>
      <c r="P86" s="684">
        <f>IFERROR(0.001*INDEX(VehicleCostData!$N$13:$T$102,MATCH($B86,VehicleCostData!$A$13:$A$102,0),MATCH(P$5,VehicleCostData!$N$12:$T$12,0)),"")</f>
        <v>531.43336858461009</v>
      </c>
      <c r="Q86" s="684">
        <f>IFERROR(0.001*INDEX(VehicleCostData!$N$13:$T$102,MATCH($B86,VehicleCostData!$A$13:$A$102,0),MATCH(Q$5,VehicleCostData!$N$12:$T$12,0)),"")</f>
        <v>540.08959568363241</v>
      </c>
      <c r="R86" s="684">
        <f>IFERROR(0.001*INDEX(VehicleCostData!$N$13:$T$102,MATCH($B86,VehicleCostData!$A$13:$A$102,0),MATCH(R$5,VehicleCostData!$N$12:$T$12,0)),"")</f>
        <v>548.74582278265507</v>
      </c>
      <c r="S86" s="684">
        <f>IFERROR(0.001*INDEX(VehicleCostData!$N$13:$T$102,MATCH($B86,VehicleCostData!$A$13:$A$102,0),MATCH(S$5,VehicleCostData!$N$12:$T$12,0)),"")</f>
        <v>554.77116992257743</v>
      </c>
      <c r="T86" s="684">
        <f>IFERROR(0.001*INDEX(VehicleCostData!$N$13:$T$102,MATCH($B86,VehicleCostData!$A$13:$A$102,0),MATCH(T$5,VehicleCostData!$N$12:$T$12,0)),"")</f>
        <v>560.7965170624999</v>
      </c>
      <c r="U86" s="684">
        <f>IFERROR(0.001*INDEX(VehicleCostData!$N$13:$T$102,MATCH($B86,VehicleCostData!$A$13:$A$102,0),MATCH(U$5,VehicleCostData!$N$12:$T$12,0)),"")</f>
        <v>564.26965287362793</v>
      </c>
      <c r="V86" s="684">
        <f>IFERROR(0.001*INDEX(VehicleCostData!$N$13:$T$102,MATCH($B86,VehicleCostData!$A$13:$A$102,0),MATCH(V$5,VehicleCostData!$N$12:$T$12,0)),"")</f>
        <v>567.74278868475642</v>
      </c>
      <c r="W86" s="685">
        <f>IFERROR(0.001*INDEX(VehicleCostData!$V$13:$AB$102,MATCH($B86,VehicleCostData!$A$13:$A$102,0),MATCH(W$5,VehicleCostData!$V$12:$AB$12,0)),"")</f>
        <v>14.348700951784471</v>
      </c>
      <c r="X86" s="685">
        <f>IFERROR(0.001*INDEX(VehicleCostData!$V$13:$AB$102,MATCH($B86,VehicleCostData!$A$13:$A$102,0),MATCH(X$5,VehicleCostData!$V$12:$AB$12,0)),"")</f>
        <v>14.816137215131684</v>
      </c>
      <c r="Y86" s="685">
        <f>IFERROR(0.001*INDEX(VehicleCostData!$V$13:$AB$102,MATCH($B86,VehicleCostData!$A$13:$A$102,0),MATCH(Y$5,VehicleCostData!$V$12:$AB$12,0)),"")</f>
        <v>15.141505960687496</v>
      </c>
      <c r="Z86" s="685">
        <f>IFERROR(0.001*INDEX(VehicleCostData!$V$13:$AB$102,MATCH($B86,VehicleCostData!$A$13:$A$102,0),MATCH(Z$5,VehicleCostData!$V$12:$AB$12,0)),"")</f>
        <v>15.329055294488422</v>
      </c>
      <c r="AA86" s="652">
        <v>20</v>
      </c>
      <c r="AB86" s="652">
        <v>20</v>
      </c>
      <c r="AC86" s="694">
        <f t="shared" si="1"/>
        <v>2080</v>
      </c>
      <c r="AD86" s="688">
        <v>3</v>
      </c>
    </row>
    <row r="87" spans="2:30" x14ac:dyDescent="0.25">
      <c r="B87" s="385" t="str">
        <f>IF(ITEMS_Tech_N!D87="","",ITEMS_Tech_N!D87)</f>
        <v>*</v>
      </c>
      <c r="C87" s="232" t="str">
        <f>IF(ITEMS_Tech_N!E87="","",ITEMS_Tech_N!E87)</f>
        <v>Transport Freight - HCV9 Gas-N</v>
      </c>
      <c r="D87" s="219" t="s">
        <v>563</v>
      </c>
      <c r="E87" s="219" t="s">
        <v>274</v>
      </c>
      <c r="F87" s="377">
        <f>IFERROR(INDEX('EFF-N_ANTC'!$J$6:$N$96,MATCH($B87,'EFF-N_ANTC'!$A$6:$A$96,0),MATCH(F$5,'EFF-N_ANTC'!$J$5:$N$5,0)),"")</f>
        <v>0.23658855771912971</v>
      </c>
      <c r="G87" s="377">
        <f>IFERROR(INDEX('EFF-N_ANTC'!$J$6:$N$96,MATCH($B87,'EFF-N_ANTC'!$A$6:$A$96,0),MATCH(G$5,'EFF-N_ANTC'!$J$5:$N$5,0)),"")</f>
        <v>0.25508715046378805</v>
      </c>
      <c r="H87" s="377">
        <f>IFERROR(INDEX('EFF-N_ANTC'!$J$6:$N$96,MATCH($B87,'EFF-N_ANTC'!$A$6:$A$96,0),MATCH(H$5,'EFF-N_ANTC'!$J$5:$N$5,0)),"")</f>
        <v>0.28205684025891897</v>
      </c>
      <c r="I87" s="377">
        <f>IFERROR(INDEX('EFF-N_ANTC'!$J$6:$N$96,MATCH($B87,'EFF-N_ANTC'!$A$6:$A$96,0),MATCH(I$5,'EFF-N_ANTC'!$J$5:$N$5,0)),"")</f>
        <v>0.31187796402994067</v>
      </c>
      <c r="J87" s="652">
        <v>1</v>
      </c>
      <c r="K87" s="652">
        <v>1</v>
      </c>
      <c r="L87" s="652">
        <v>1</v>
      </c>
      <c r="M87" s="652">
        <v>1</v>
      </c>
      <c r="N87" s="652">
        <v>1</v>
      </c>
      <c r="O87" s="379">
        <f>IFERROR(INDEX('CapUnit-N_ANTC'!$C$6:$C$96,MATCH($B87,'CapUnit-N_ANTC'!$A$6:$A$96,0)),"")</f>
        <v>2.4E-2</v>
      </c>
      <c r="P87" s="684">
        <f>IFERROR(0.001*INDEX(VehicleCostData!$N$13:$T$102,MATCH($B87,VehicleCostData!$A$13:$A$102,0),MATCH(P$5,VehicleCostData!$N$12:$T$12,0)),"")</f>
        <v>531.43336858461009</v>
      </c>
      <c r="Q87" s="684">
        <f>IFERROR(0.001*INDEX(VehicleCostData!$N$13:$T$102,MATCH($B87,VehicleCostData!$A$13:$A$102,0),MATCH(Q$5,VehicleCostData!$N$12:$T$12,0)),"")</f>
        <v>540.08959568363241</v>
      </c>
      <c r="R87" s="684">
        <f>IFERROR(0.001*INDEX(VehicleCostData!$N$13:$T$102,MATCH($B87,VehicleCostData!$A$13:$A$102,0),MATCH(R$5,VehicleCostData!$N$12:$T$12,0)),"")</f>
        <v>548.74582278265507</v>
      </c>
      <c r="S87" s="684">
        <f>IFERROR(0.001*INDEX(VehicleCostData!$N$13:$T$102,MATCH($B87,VehicleCostData!$A$13:$A$102,0),MATCH(S$5,VehicleCostData!$N$12:$T$12,0)),"")</f>
        <v>554.77116992257743</v>
      </c>
      <c r="T87" s="684">
        <f>IFERROR(0.001*INDEX(VehicleCostData!$N$13:$T$102,MATCH($B87,VehicleCostData!$A$13:$A$102,0),MATCH(T$5,VehicleCostData!$N$12:$T$12,0)),"")</f>
        <v>560.7965170624999</v>
      </c>
      <c r="U87" s="684">
        <f>IFERROR(0.001*INDEX(VehicleCostData!$N$13:$T$102,MATCH($B87,VehicleCostData!$A$13:$A$102,0),MATCH(U$5,VehicleCostData!$N$12:$T$12,0)),"")</f>
        <v>564.26965287362793</v>
      </c>
      <c r="V87" s="684">
        <f>IFERROR(0.001*INDEX(VehicleCostData!$N$13:$T$102,MATCH($B87,VehicleCostData!$A$13:$A$102,0),MATCH(V$5,VehicleCostData!$N$12:$T$12,0)),"")</f>
        <v>567.74278868475642</v>
      </c>
      <c r="W87" s="685">
        <f>IFERROR(0.001*INDEX(VehicleCostData!$V$13:$AB$102,MATCH($B87,VehicleCostData!$A$13:$A$102,0),MATCH(W$5,VehicleCostData!$V$12:$AB$12,0)),"")</f>
        <v>14.348700951784471</v>
      </c>
      <c r="X87" s="685">
        <f>IFERROR(0.001*INDEX(VehicleCostData!$V$13:$AB$102,MATCH($B87,VehicleCostData!$A$13:$A$102,0),MATCH(X$5,VehicleCostData!$V$12:$AB$12,0)),"")</f>
        <v>14.816137215131684</v>
      </c>
      <c r="Y87" s="685">
        <f>IFERROR(0.001*INDEX(VehicleCostData!$V$13:$AB$102,MATCH($B87,VehicleCostData!$A$13:$A$102,0),MATCH(Y$5,VehicleCostData!$V$12:$AB$12,0)),"")</f>
        <v>15.141505960687496</v>
      </c>
      <c r="Z87" s="685">
        <f>IFERROR(0.001*INDEX(VehicleCostData!$V$13:$AB$102,MATCH($B87,VehicleCostData!$A$13:$A$102,0),MATCH(Z$5,VehicleCostData!$V$12:$AB$12,0)),"")</f>
        <v>15.329055294488422</v>
      </c>
      <c r="AA87" s="652">
        <v>20</v>
      </c>
      <c r="AB87" s="652">
        <v>20</v>
      </c>
      <c r="AC87" s="694">
        <f t="shared" si="1"/>
        <v>2080</v>
      </c>
      <c r="AD87" s="688">
        <v>3</v>
      </c>
    </row>
    <row r="88" spans="2:30" x14ac:dyDescent="0.25">
      <c r="B88" s="385" t="str">
        <f>IF(ITEMS_Tech_N!D88="","",ITEMS_Tech_N!D88)</f>
        <v>TFHCV1ELC-N</v>
      </c>
      <c r="C88" s="232" t="str">
        <f>IF(ITEMS_Tech_N!E88="","",ITEMS_Tech_N!E88)</f>
        <v>Transport Freight - HCV1 Electricity-N</v>
      </c>
      <c r="D88" s="219" t="s">
        <v>412</v>
      </c>
      <c r="E88" s="219" t="s">
        <v>253</v>
      </c>
      <c r="F88" s="377">
        <f>IFERROR(INDEX('EFF-N_ANTC'!$J$6:$N$96,MATCH($B88,'EFF-N_ANTC'!$A$6:$A$96,0),MATCH(F$5,'EFF-N_ANTC'!$J$5:$N$5,0)),"")</f>
        <v>0.3601677183828883</v>
      </c>
      <c r="G88" s="377">
        <f>IFERROR(INDEX('EFF-N_ANTC'!$J$6:$N$96,MATCH($B88,'EFF-N_ANTC'!$A$6:$A$96,0),MATCH(G$5,'EFF-N_ANTC'!$J$5:$N$5,0)),"")</f>
        <v>0.38058959430063305</v>
      </c>
      <c r="H88" s="377">
        <f>IFERROR(INDEX('EFF-N_ANTC'!$J$6:$N$96,MATCH($B88,'EFF-N_ANTC'!$A$6:$A$96,0),MATCH(H$5,'EFF-N_ANTC'!$J$5:$N$5,0)),"")</f>
        <v>0.42082832556906657</v>
      </c>
      <c r="I88" s="377">
        <f>IFERROR(INDEX('EFF-N_ANTC'!$J$6:$N$96,MATCH($B88,'EFF-N_ANTC'!$A$6:$A$96,0),MATCH(I$5,'EFF-N_ANTC'!$J$5:$N$5,0)),"")</f>
        <v>0.46532139147601942</v>
      </c>
      <c r="J88" s="652">
        <v>1</v>
      </c>
      <c r="K88" s="652">
        <v>1</v>
      </c>
      <c r="L88" s="652">
        <v>1</v>
      </c>
      <c r="M88" s="652">
        <v>1</v>
      </c>
      <c r="N88" s="652">
        <v>1</v>
      </c>
      <c r="O88" s="379">
        <f>IFERROR(INDEX('CapUnit-N_ANTC'!$C$6:$C$96,MATCH($B88,'CapUnit-N_ANTC'!$A$6:$A$96,0)),"")</f>
        <v>4.8000000000000001E-2</v>
      </c>
      <c r="P88" s="684">
        <f>IFERROR(0.001*INDEX(VehicleCostData!$N$13:$T$102,MATCH($B88,VehicleCostData!$A$13:$A$102,0),MATCH(P$5,VehicleCostData!$N$12:$T$12,0)),"")</f>
        <v>1424.3580051975064</v>
      </c>
      <c r="Q88" s="684">
        <f>IFERROR(0.001*INDEX(VehicleCostData!$N$13:$T$102,MATCH($B88,VehicleCostData!$A$13:$A$102,0),MATCH(Q$5,VehicleCostData!$N$12:$T$12,0)),"")</f>
        <v>1117.9027922164621</v>
      </c>
      <c r="R88" s="684">
        <f>IFERROR(0.001*INDEX(VehicleCostData!$N$13:$T$102,MATCH($B88,VehicleCostData!$A$13:$A$102,0),MATCH(R$5,VehicleCostData!$N$12:$T$12,0)),"")</f>
        <v>904.62987864086062</v>
      </c>
      <c r="S88" s="684">
        <f>IFERROR(0.001*INDEX(VehicleCostData!$N$13:$T$102,MATCH($B88,VehicleCostData!$A$13:$A$102,0),MATCH(S$5,VehicleCostData!$N$12:$T$12,0)),"")</f>
        <v>854.1467038771475</v>
      </c>
      <c r="T88" s="684">
        <f>IFERROR(0.001*INDEX(VehicleCostData!$N$13:$T$102,MATCH($B88,VehicleCostData!$A$13:$A$102,0),MATCH(T$5,VehicleCostData!$N$12:$T$12,0)),"")</f>
        <v>803.66352911343529</v>
      </c>
      <c r="U88" s="684">
        <f>IFERROR(0.001*INDEX(VehicleCostData!$N$13:$T$102,MATCH($B88,VehicleCostData!$A$13:$A$102,0),MATCH(U$5,VehicleCostData!$N$12:$T$12,0)),"")</f>
        <v>788.67421687176454</v>
      </c>
      <c r="V88" s="684">
        <f>IFERROR(0.001*INDEX(VehicleCostData!$N$13:$T$102,MATCH($B88,VehicleCostData!$A$13:$A$102,0),MATCH(V$5,VehicleCostData!$N$12:$T$12,0)),"")</f>
        <v>773.68490463009357</v>
      </c>
      <c r="W88" s="685">
        <f>IFERROR(0.001*INDEX(VehicleCostData!$V$13:$AB$102,MATCH($B88,VehicleCostData!$A$13:$A$102,0),MATCH(W$5,VehicleCostData!$V$12:$AB$12,0)),"")</f>
        <v>27.062802098752623</v>
      </c>
      <c r="X88" s="685">
        <f>IFERROR(0.001*INDEX(VehicleCostData!$V$13:$AB$102,MATCH($B88,VehicleCostData!$A$13:$A$102,0),MATCH(X$5,VehicleCostData!$V$12:$AB$12,0)),"")</f>
        <v>17.187967694176351</v>
      </c>
      <c r="Y88" s="685">
        <f>IFERROR(0.001*INDEX(VehicleCostData!$V$13:$AB$102,MATCH($B88,VehicleCostData!$A$13:$A$102,0),MATCH(Y$5,VehicleCostData!$V$12:$AB$12,0)),"")</f>
        <v>15.269607053155271</v>
      </c>
      <c r="Z88" s="685">
        <f>IFERROR(0.001*INDEX(VehicleCostData!$V$13:$AB$102,MATCH($B88,VehicleCostData!$A$13:$A$102,0),MATCH(Z$5,VehicleCostData!$V$12:$AB$12,0)),"")</f>
        <v>14.700013187971777</v>
      </c>
      <c r="AA88" s="652">
        <v>20</v>
      </c>
      <c r="AB88" s="652">
        <v>20</v>
      </c>
      <c r="AC88" s="694">
        <f t="shared" si="1"/>
        <v>2025</v>
      </c>
      <c r="AD88" s="688">
        <v>2</v>
      </c>
    </row>
    <row r="89" spans="2:30" x14ac:dyDescent="0.25">
      <c r="B89" s="385" t="str">
        <f>IF(ITEMS_Tech_N!D89="","",ITEMS_Tech_N!D89)</f>
        <v>TFHCV2ELC-N</v>
      </c>
      <c r="C89" s="232" t="str">
        <f>IF(ITEMS_Tech_N!E89="","",ITEMS_Tech_N!E89)</f>
        <v>Transport Freight - HCV2 Electricity-N</v>
      </c>
      <c r="D89" s="219" t="s">
        <v>412</v>
      </c>
      <c r="E89" s="219" t="s">
        <v>259</v>
      </c>
      <c r="F89" s="377">
        <f>IFERROR(INDEX('EFF-N_ANTC'!$J$6:$N$96,MATCH($B89,'EFF-N_ANTC'!$A$6:$A$96,0),MATCH(F$5,'EFF-N_ANTC'!$J$5:$N$5,0)),"")</f>
        <v>0.3601677183828883</v>
      </c>
      <c r="G89" s="377">
        <f>IFERROR(INDEX('EFF-N_ANTC'!$J$6:$N$96,MATCH($B89,'EFF-N_ANTC'!$A$6:$A$96,0),MATCH(G$5,'EFF-N_ANTC'!$J$5:$N$5,0)),"")</f>
        <v>0.38058959430063305</v>
      </c>
      <c r="H89" s="377">
        <f>IFERROR(INDEX('EFF-N_ANTC'!$J$6:$N$96,MATCH($B89,'EFF-N_ANTC'!$A$6:$A$96,0),MATCH(H$5,'EFF-N_ANTC'!$J$5:$N$5,0)),"")</f>
        <v>0.42082832556906657</v>
      </c>
      <c r="I89" s="377">
        <f>IFERROR(INDEX('EFF-N_ANTC'!$J$6:$N$96,MATCH($B89,'EFF-N_ANTC'!$A$6:$A$96,0),MATCH(I$5,'EFF-N_ANTC'!$J$5:$N$5,0)),"")</f>
        <v>0.46532139147601942</v>
      </c>
      <c r="J89" s="652">
        <v>1</v>
      </c>
      <c r="K89" s="652">
        <v>1</v>
      </c>
      <c r="L89" s="652">
        <v>1</v>
      </c>
      <c r="M89" s="652">
        <v>1</v>
      </c>
      <c r="N89" s="652">
        <v>1</v>
      </c>
      <c r="O89" s="379">
        <f>IFERROR(INDEX('CapUnit-N_ANTC'!$C$6:$C$96,MATCH($B89,'CapUnit-N_ANTC'!$A$6:$A$96,0)),"")</f>
        <v>4.8000000000000001E-2</v>
      </c>
      <c r="P89" s="684">
        <f>IFERROR(0.001*INDEX(VehicleCostData!$N$13:$T$102,MATCH($B89,VehicleCostData!$A$13:$A$102,0),MATCH(P$5,VehicleCostData!$N$12:$T$12,0)),"")</f>
        <v>1424.3580051975064</v>
      </c>
      <c r="Q89" s="684">
        <f>IFERROR(0.001*INDEX(VehicleCostData!$N$13:$T$102,MATCH($B89,VehicleCostData!$A$13:$A$102,0),MATCH(Q$5,VehicleCostData!$N$12:$T$12,0)),"")</f>
        <v>1117.9027922164621</v>
      </c>
      <c r="R89" s="684">
        <f>IFERROR(0.001*INDEX(VehicleCostData!$N$13:$T$102,MATCH($B89,VehicleCostData!$A$13:$A$102,0),MATCH(R$5,VehicleCostData!$N$12:$T$12,0)),"")</f>
        <v>904.62987864086062</v>
      </c>
      <c r="S89" s="684">
        <f>IFERROR(0.001*INDEX(VehicleCostData!$N$13:$T$102,MATCH($B89,VehicleCostData!$A$13:$A$102,0),MATCH(S$5,VehicleCostData!$N$12:$T$12,0)),"")</f>
        <v>854.1467038771475</v>
      </c>
      <c r="T89" s="684">
        <f>IFERROR(0.001*INDEX(VehicleCostData!$N$13:$T$102,MATCH($B89,VehicleCostData!$A$13:$A$102,0),MATCH(T$5,VehicleCostData!$N$12:$T$12,0)),"")</f>
        <v>803.66352911343529</v>
      </c>
      <c r="U89" s="684">
        <f>IFERROR(0.001*INDEX(VehicleCostData!$N$13:$T$102,MATCH($B89,VehicleCostData!$A$13:$A$102,0),MATCH(U$5,VehicleCostData!$N$12:$T$12,0)),"")</f>
        <v>788.67421687176454</v>
      </c>
      <c r="V89" s="684">
        <f>IFERROR(0.001*INDEX(VehicleCostData!$N$13:$T$102,MATCH($B89,VehicleCostData!$A$13:$A$102,0),MATCH(V$5,VehicleCostData!$N$12:$T$12,0)),"")</f>
        <v>773.68490463009357</v>
      </c>
      <c r="W89" s="685">
        <f>IFERROR(0.001*INDEX(VehicleCostData!$V$13:$AB$102,MATCH($B89,VehicleCostData!$A$13:$A$102,0),MATCH(W$5,VehicleCostData!$V$12:$AB$12,0)),"")</f>
        <v>27.062802098752623</v>
      </c>
      <c r="X89" s="685">
        <f>IFERROR(0.001*INDEX(VehicleCostData!$V$13:$AB$102,MATCH($B89,VehicleCostData!$A$13:$A$102,0),MATCH(X$5,VehicleCostData!$V$12:$AB$12,0)),"")</f>
        <v>17.187967694176351</v>
      </c>
      <c r="Y89" s="685">
        <f>IFERROR(0.001*INDEX(VehicleCostData!$V$13:$AB$102,MATCH($B89,VehicleCostData!$A$13:$A$102,0),MATCH(Y$5,VehicleCostData!$V$12:$AB$12,0)),"")</f>
        <v>15.269607053155271</v>
      </c>
      <c r="Z89" s="685">
        <f>IFERROR(0.001*INDEX(VehicleCostData!$V$13:$AB$102,MATCH($B89,VehicleCostData!$A$13:$A$102,0),MATCH(Z$5,VehicleCostData!$V$12:$AB$12,0)),"")</f>
        <v>14.700013187971777</v>
      </c>
      <c r="AA89" s="652">
        <v>20</v>
      </c>
      <c r="AB89" s="652">
        <v>20</v>
      </c>
      <c r="AC89" s="694">
        <f t="shared" si="1"/>
        <v>2025</v>
      </c>
      <c r="AD89" s="688">
        <v>2</v>
      </c>
    </row>
    <row r="90" spans="2:30" x14ac:dyDescent="0.25">
      <c r="B90" s="385" t="str">
        <f>IF(ITEMS_Tech_N!D90="","",ITEMS_Tech_N!D90)</f>
        <v>TFHCV3ELC-N</v>
      </c>
      <c r="C90" s="232" t="str">
        <f>IF(ITEMS_Tech_N!E90="","",ITEMS_Tech_N!E90)</f>
        <v>Transport Freight - HCV3 Electricity-N</v>
      </c>
      <c r="D90" s="219" t="s">
        <v>412</v>
      </c>
      <c r="E90" s="219" t="s">
        <v>261</v>
      </c>
      <c r="F90" s="377">
        <f>IFERROR(INDEX('EFF-N_ANTC'!$J$6:$N$96,MATCH($B90,'EFF-N_ANTC'!$A$6:$A$96,0),MATCH(F$5,'EFF-N_ANTC'!$J$5:$N$5,0)),"")</f>
        <v>0.3601677183828883</v>
      </c>
      <c r="G90" s="377">
        <f>IFERROR(INDEX('EFF-N_ANTC'!$J$6:$N$96,MATCH($B90,'EFF-N_ANTC'!$A$6:$A$96,0),MATCH(G$5,'EFF-N_ANTC'!$J$5:$N$5,0)),"")</f>
        <v>0.38058959430063305</v>
      </c>
      <c r="H90" s="377">
        <f>IFERROR(INDEX('EFF-N_ANTC'!$J$6:$N$96,MATCH($B90,'EFF-N_ANTC'!$A$6:$A$96,0),MATCH(H$5,'EFF-N_ANTC'!$J$5:$N$5,0)),"")</f>
        <v>0.42082832556906657</v>
      </c>
      <c r="I90" s="377">
        <f>IFERROR(INDEX('EFF-N_ANTC'!$J$6:$N$96,MATCH($B90,'EFF-N_ANTC'!$A$6:$A$96,0),MATCH(I$5,'EFF-N_ANTC'!$J$5:$N$5,0)),"")</f>
        <v>0.46532139147601942</v>
      </c>
      <c r="J90" s="652">
        <v>1</v>
      </c>
      <c r="K90" s="652">
        <v>1</v>
      </c>
      <c r="L90" s="652">
        <v>1</v>
      </c>
      <c r="M90" s="652">
        <v>1</v>
      </c>
      <c r="N90" s="652">
        <v>1</v>
      </c>
      <c r="O90" s="379">
        <f>IFERROR(INDEX('CapUnit-N_ANTC'!$C$6:$C$96,MATCH($B90,'CapUnit-N_ANTC'!$A$6:$A$96,0)),"")</f>
        <v>8.4999999999999992E-2</v>
      </c>
      <c r="P90" s="684">
        <f>IFERROR(0.001*INDEX(VehicleCostData!$N$13:$T$102,MATCH($B90,VehicleCostData!$A$13:$A$102,0),MATCH(P$5,VehicleCostData!$N$12:$T$12,0)),"")</f>
        <v>1424.3580051975064</v>
      </c>
      <c r="Q90" s="684">
        <f>IFERROR(0.001*INDEX(VehicleCostData!$N$13:$T$102,MATCH($B90,VehicleCostData!$A$13:$A$102,0),MATCH(Q$5,VehicleCostData!$N$12:$T$12,0)),"")</f>
        <v>1117.9027922164621</v>
      </c>
      <c r="R90" s="684">
        <f>IFERROR(0.001*INDEX(VehicleCostData!$N$13:$T$102,MATCH($B90,VehicleCostData!$A$13:$A$102,0),MATCH(R$5,VehicleCostData!$N$12:$T$12,0)),"")</f>
        <v>904.62987864086062</v>
      </c>
      <c r="S90" s="684">
        <f>IFERROR(0.001*INDEX(VehicleCostData!$N$13:$T$102,MATCH($B90,VehicleCostData!$A$13:$A$102,0),MATCH(S$5,VehicleCostData!$N$12:$T$12,0)),"")</f>
        <v>854.1467038771475</v>
      </c>
      <c r="T90" s="684">
        <f>IFERROR(0.001*INDEX(VehicleCostData!$N$13:$T$102,MATCH($B90,VehicleCostData!$A$13:$A$102,0),MATCH(T$5,VehicleCostData!$N$12:$T$12,0)),"")</f>
        <v>803.66352911343529</v>
      </c>
      <c r="U90" s="684">
        <f>IFERROR(0.001*INDEX(VehicleCostData!$N$13:$T$102,MATCH($B90,VehicleCostData!$A$13:$A$102,0),MATCH(U$5,VehicleCostData!$N$12:$T$12,0)),"")</f>
        <v>788.67421687176454</v>
      </c>
      <c r="V90" s="684">
        <f>IFERROR(0.001*INDEX(VehicleCostData!$N$13:$T$102,MATCH($B90,VehicleCostData!$A$13:$A$102,0),MATCH(V$5,VehicleCostData!$N$12:$T$12,0)),"")</f>
        <v>773.68490463009357</v>
      </c>
      <c r="W90" s="685">
        <f>IFERROR(0.001*INDEX(VehicleCostData!$V$13:$AB$102,MATCH($B90,VehicleCostData!$A$13:$A$102,0),MATCH(W$5,VehicleCostData!$V$12:$AB$12,0)),"")</f>
        <v>27.062802098752623</v>
      </c>
      <c r="X90" s="685">
        <f>IFERROR(0.001*INDEX(VehicleCostData!$V$13:$AB$102,MATCH($B90,VehicleCostData!$A$13:$A$102,0),MATCH(X$5,VehicleCostData!$V$12:$AB$12,0)),"")</f>
        <v>17.187967694176351</v>
      </c>
      <c r="Y90" s="685">
        <f>IFERROR(0.001*INDEX(VehicleCostData!$V$13:$AB$102,MATCH($B90,VehicleCostData!$A$13:$A$102,0),MATCH(Y$5,VehicleCostData!$V$12:$AB$12,0)),"")</f>
        <v>15.269607053155271</v>
      </c>
      <c r="Z90" s="685">
        <f>IFERROR(0.001*INDEX(VehicleCostData!$V$13:$AB$102,MATCH($B90,VehicleCostData!$A$13:$A$102,0),MATCH(Z$5,VehicleCostData!$V$12:$AB$12,0)),"")</f>
        <v>14.700013187971777</v>
      </c>
      <c r="AA90" s="652">
        <v>20</v>
      </c>
      <c r="AB90" s="652">
        <v>20</v>
      </c>
      <c r="AC90" s="694">
        <f t="shared" si="1"/>
        <v>2025</v>
      </c>
      <c r="AD90" s="688">
        <v>2</v>
      </c>
    </row>
    <row r="91" spans="2:30" x14ac:dyDescent="0.25">
      <c r="B91" s="385" t="str">
        <f>IF(ITEMS_Tech_N!D91="","",ITEMS_Tech_N!D91)</f>
        <v>TFHCV4ELC-N</v>
      </c>
      <c r="C91" s="232" t="str">
        <f>IF(ITEMS_Tech_N!E91="","",ITEMS_Tech_N!E91)</f>
        <v>Transport Freight - HCV4 Electricity-N</v>
      </c>
      <c r="D91" s="219" t="s">
        <v>412</v>
      </c>
      <c r="E91" s="219" t="s">
        <v>263</v>
      </c>
      <c r="F91" s="377">
        <f>IFERROR(INDEX('EFF-N_ANTC'!$J$6:$N$96,MATCH($B91,'EFF-N_ANTC'!$A$6:$A$96,0),MATCH(F$5,'EFF-N_ANTC'!$J$5:$N$5,0)),"")</f>
        <v>0.30953035360203818</v>
      </c>
      <c r="G91" s="377">
        <f>IFERROR(INDEX('EFF-N_ANTC'!$J$6:$N$96,MATCH($B91,'EFF-N_ANTC'!$A$6:$A$96,0),MATCH(G$5,'EFF-N_ANTC'!$J$5:$N$5,0)),"")</f>
        <v>0.32708103943923067</v>
      </c>
      <c r="H91" s="377">
        <f>IFERROR(INDEX('EFF-N_ANTC'!$J$6:$N$96,MATCH($B91,'EFF-N_ANTC'!$A$6:$A$96,0),MATCH(H$5,'EFF-N_ANTC'!$J$5:$N$5,0)),"")</f>
        <v>0.3616624527150723</v>
      </c>
      <c r="I91" s="377">
        <f>IFERROR(INDEX('EFF-N_ANTC'!$J$6:$N$96,MATCH($B91,'EFF-N_ANTC'!$A$6:$A$96,0),MATCH(I$5,'EFF-N_ANTC'!$J$5:$N$5,0)),"")</f>
        <v>0.39990006735986161</v>
      </c>
      <c r="J91" s="652">
        <v>1</v>
      </c>
      <c r="K91" s="652">
        <v>1</v>
      </c>
      <c r="L91" s="652">
        <v>1</v>
      </c>
      <c r="M91" s="652">
        <v>1</v>
      </c>
      <c r="N91" s="652">
        <v>1</v>
      </c>
      <c r="O91" s="379">
        <f>IFERROR(INDEX('CapUnit-N_ANTC'!$C$6:$C$96,MATCH($B91,'CapUnit-N_ANTC'!$A$6:$A$96,0)),"")</f>
        <v>8.4999999999999992E-2</v>
      </c>
      <c r="P91" s="684">
        <f>IFERROR(0.001*INDEX(VehicleCostData!$N$13:$T$102,MATCH($B91,VehicleCostData!$A$13:$A$102,0),MATCH(P$5,VehicleCostData!$N$12:$T$12,0)),"")</f>
        <v>2732.2653835872034</v>
      </c>
      <c r="Q91" s="684">
        <f>IFERROR(0.001*INDEX(VehicleCostData!$N$13:$T$102,MATCH($B91,VehicleCostData!$A$13:$A$102,0),MATCH(Q$5,VehicleCostData!$N$12:$T$12,0)),"")</f>
        <v>2144.4096850952737</v>
      </c>
      <c r="R91" s="684">
        <f>IFERROR(0.001*INDEX(VehicleCostData!$N$13:$T$102,MATCH($B91,VehicleCostData!$A$13:$A$102,0),MATCH(R$5,VehicleCostData!$N$12:$T$12,0)),"")</f>
        <v>1735.3003201090467</v>
      </c>
      <c r="S91" s="684">
        <f>IFERROR(0.001*INDEX(VehicleCostData!$N$13:$T$102,MATCH($B91,VehicleCostData!$A$13:$A$102,0),MATCH(S$5,VehicleCostData!$N$12:$T$12,0)),"")</f>
        <v>1638.4613018586106</v>
      </c>
      <c r="T91" s="684">
        <f>IFERROR(0.001*INDEX(VehicleCostData!$N$13:$T$102,MATCH($B91,VehicleCostData!$A$13:$A$102,0),MATCH(T$5,VehicleCostData!$N$12:$T$12,0)),"")</f>
        <v>1541.6222836081761</v>
      </c>
      <c r="U91" s="684">
        <f>IFERROR(0.001*INDEX(VehicleCostData!$N$13:$T$102,MATCH($B91,VehicleCostData!$A$13:$A$102,0),MATCH(U$5,VehicleCostData!$N$12:$T$12,0)),"")</f>
        <v>1512.8691338998497</v>
      </c>
      <c r="V91" s="684">
        <f>IFERROR(0.001*INDEX(VehicleCostData!$N$13:$T$102,MATCH($B91,VehicleCostData!$A$13:$A$102,0),MATCH(V$5,VehicleCostData!$N$12:$T$12,0)),"")</f>
        <v>1484.115984191523</v>
      </c>
      <c r="W91" s="685">
        <f>IFERROR(0.001*INDEX(VehicleCostData!$V$13:$AB$102,MATCH($B91,VehicleCostData!$A$13:$A$102,0),MATCH(W$5,VehicleCostData!$V$12:$AB$12,0)),"")</f>
        <v>51.913042288156866</v>
      </c>
      <c r="X91" s="685">
        <f>IFERROR(0.001*INDEX(VehicleCostData!$V$13:$AB$102,MATCH($B91,VehicleCostData!$A$13:$A$102,0),MATCH(X$5,VehicleCostData!$V$12:$AB$12,0)),"")</f>
        <v>32.970706082071885</v>
      </c>
      <c r="Y91" s="685">
        <f>IFERROR(0.001*INDEX(VehicleCostData!$V$13:$AB$102,MATCH($B91,VehicleCostData!$A$13:$A$102,0),MATCH(Y$5,VehicleCostData!$V$12:$AB$12,0)),"")</f>
        <v>29.290823388555346</v>
      </c>
      <c r="Z91" s="685">
        <f>IFERROR(0.001*INDEX(VehicleCostData!$V$13:$AB$102,MATCH($B91,VehicleCostData!$A$13:$A$102,0),MATCH(Z$5,VehicleCostData!$V$12:$AB$12,0)),"")</f>
        <v>28.198203699638938</v>
      </c>
      <c r="AA91" s="652">
        <v>20</v>
      </c>
      <c r="AB91" s="652">
        <v>20</v>
      </c>
      <c r="AC91" s="694">
        <f t="shared" si="1"/>
        <v>2025</v>
      </c>
      <c r="AD91" s="688">
        <v>2</v>
      </c>
    </row>
    <row r="92" spans="2:30" x14ac:dyDescent="0.25">
      <c r="B92" s="385" t="str">
        <f>IF(ITEMS_Tech_N!D92="","",ITEMS_Tech_N!D92)</f>
        <v>TFHCV5ELC-N</v>
      </c>
      <c r="C92" s="232" t="str">
        <f>IF(ITEMS_Tech_N!E92="","",ITEMS_Tech_N!E92)</f>
        <v>Transport Freight - HCV5 Electricity-N</v>
      </c>
      <c r="D92" s="219" t="s">
        <v>412</v>
      </c>
      <c r="E92" s="219" t="s">
        <v>265</v>
      </c>
      <c r="F92" s="377">
        <f>IFERROR(INDEX('EFF-N_ANTC'!$J$6:$N$96,MATCH($B92,'EFF-N_ANTC'!$A$6:$A$96,0),MATCH(F$5,'EFF-N_ANTC'!$J$5:$N$5,0)),"")</f>
        <v>0.28515746678525633</v>
      </c>
      <c r="G92" s="377">
        <f>IFERROR(INDEX('EFF-N_ANTC'!$J$6:$N$96,MATCH($B92,'EFF-N_ANTC'!$A$6:$A$96,0),MATCH(G$5,'EFF-N_ANTC'!$J$5:$N$5,0)),"")</f>
        <v>0.30132618515305881</v>
      </c>
      <c r="H92" s="377">
        <f>IFERROR(INDEX('EFF-N_ANTC'!$J$6:$N$96,MATCH($B92,'EFF-N_ANTC'!$A$6:$A$96,0),MATCH(H$5,'EFF-N_ANTC'!$J$5:$N$5,0)),"")</f>
        <v>0.33318460579852316</v>
      </c>
      <c r="I92" s="377">
        <f>IFERROR(INDEX('EFF-N_ANTC'!$J$6:$N$96,MATCH($B92,'EFF-N_ANTC'!$A$6:$A$96,0),MATCH(I$5,'EFF-N_ANTC'!$J$5:$N$5,0)),"")</f>
        <v>0.36841133300356443</v>
      </c>
      <c r="J92" s="652">
        <v>1</v>
      </c>
      <c r="K92" s="652">
        <v>1</v>
      </c>
      <c r="L92" s="652">
        <v>1</v>
      </c>
      <c r="M92" s="652">
        <v>1</v>
      </c>
      <c r="N92" s="652">
        <v>1</v>
      </c>
      <c r="O92" s="379">
        <f>IFERROR(INDEX('CapUnit-N_ANTC'!$C$6:$C$96,MATCH($B92,'CapUnit-N_ANTC'!$A$6:$A$96,0)),"")</f>
        <v>0.11</v>
      </c>
      <c r="P92" s="684">
        <f>IFERROR(0.001*INDEX(VehicleCostData!$N$13:$T$102,MATCH($B92,VehicleCostData!$A$13:$A$102,0),MATCH(P$5,VehicleCostData!$N$12:$T$12,0)),"")</f>
        <v>2732.2653835872034</v>
      </c>
      <c r="Q92" s="684">
        <f>IFERROR(0.001*INDEX(VehicleCostData!$N$13:$T$102,MATCH($B92,VehicleCostData!$A$13:$A$102,0),MATCH(Q$5,VehicleCostData!$N$12:$T$12,0)),"")</f>
        <v>2144.4096850952737</v>
      </c>
      <c r="R92" s="684">
        <f>IFERROR(0.001*INDEX(VehicleCostData!$N$13:$T$102,MATCH($B92,VehicleCostData!$A$13:$A$102,0),MATCH(R$5,VehicleCostData!$N$12:$T$12,0)),"")</f>
        <v>1735.3003201090467</v>
      </c>
      <c r="S92" s="684">
        <f>IFERROR(0.001*INDEX(VehicleCostData!$N$13:$T$102,MATCH($B92,VehicleCostData!$A$13:$A$102,0),MATCH(S$5,VehicleCostData!$N$12:$T$12,0)),"")</f>
        <v>1638.4613018586106</v>
      </c>
      <c r="T92" s="684">
        <f>IFERROR(0.001*INDEX(VehicleCostData!$N$13:$T$102,MATCH($B92,VehicleCostData!$A$13:$A$102,0),MATCH(T$5,VehicleCostData!$N$12:$T$12,0)),"")</f>
        <v>1541.6222836081761</v>
      </c>
      <c r="U92" s="684">
        <f>IFERROR(0.001*INDEX(VehicleCostData!$N$13:$T$102,MATCH($B92,VehicleCostData!$A$13:$A$102,0),MATCH(U$5,VehicleCostData!$N$12:$T$12,0)),"")</f>
        <v>1512.8691338998497</v>
      </c>
      <c r="V92" s="684">
        <f>IFERROR(0.001*INDEX(VehicleCostData!$N$13:$T$102,MATCH($B92,VehicleCostData!$A$13:$A$102,0),MATCH(V$5,VehicleCostData!$N$12:$T$12,0)),"")</f>
        <v>1484.115984191523</v>
      </c>
      <c r="W92" s="685">
        <f>IFERROR(0.001*INDEX(VehicleCostData!$V$13:$AB$102,MATCH($B92,VehicleCostData!$A$13:$A$102,0),MATCH(W$5,VehicleCostData!$V$12:$AB$12,0)),"")</f>
        <v>51.913042288156866</v>
      </c>
      <c r="X92" s="685">
        <f>IFERROR(0.001*INDEX(VehicleCostData!$V$13:$AB$102,MATCH($B92,VehicleCostData!$A$13:$A$102,0),MATCH(X$5,VehicleCostData!$V$12:$AB$12,0)),"")</f>
        <v>32.970706082071885</v>
      </c>
      <c r="Y92" s="685">
        <f>IFERROR(0.001*INDEX(VehicleCostData!$V$13:$AB$102,MATCH($B92,VehicleCostData!$A$13:$A$102,0),MATCH(Y$5,VehicleCostData!$V$12:$AB$12,0)),"")</f>
        <v>29.290823388555346</v>
      </c>
      <c r="Z92" s="685">
        <f>IFERROR(0.001*INDEX(VehicleCostData!$V$13:$AB$102,MATCH($B92,VehicleCostData!$A$13:$A$102,0),MATCH(Z$5,VehicleCostData!$V$12:$AB$12,0)),"")</f>
        <v>28.198203699638938</v>
      </c>
      <c r="AA92" s="652">
        <v>20</v>
      </c>
      <c r="AB92" s="652">
        <v>20</v>
      </c>
      <c r="AC92" s="694">
        <f t="shared" si="1"/>
        <v>2025</v>
      </c>
      <c r="AD92" s="688">
        <v>2</v>
      </c>
    </row>
    <row r="93" spans="2:30" x14ac:dyDescent="0.25">
      <c r="B93" s="385" t="str">
        <f>IF(ITEMS_Tech_N!D93="","",ITEMS_Tech_N!D93)</f>
        <v>TFHCV6ELC-N</v>
      </c>
      <c r="C93" s="232" t="str">
        <f>IF(ITEMS_Tech_N!E93="","",ITEMS_Tech_N!E93)</f>
        <v>Transport Freight - HCV6 Electricity-N</v>
      </c>
      <c r="D93" s="219" t="s">
        <v>412</v>
      </c>
      <c r="E93" s="219" t="s">
        <v>267</v>
      </c>
      <c r="F93" s="377">
        <f>IFERROR(INDEX('EFF-N_ANTC'!$J$6:$N$96,MATCH($B93,'EFF-N_ANTC'!$A$6:$A$96,0),MATCH(F$5,'EFF-N_ANTC'!$J$5:$N$5,0)),"")</f>
        <v>0.19668849811712377</v>
      </c>
      <c r="G93" s="377">
        <f>IFERROR(INDEX('EFF-N_ANTC'!$J$6:$N$96,MATCH($B93,'EFF-N_ANTC'!$A$6:$A$96,0),MATCH(G$5,'EFF-N_ANTC'!$J$5:$N$5,0)),"")</f>
        <v>0.20784093598976328</v>
      </c>
      <c r="H93" s="377">
        <f>IFERROR(INDEX('EFF-N_ANTC'!$J$6:$N$96,MATCH($B93,'EFF-N_ANTC'!$A$6:$A$96,0),MATCH(H$5,'EFF-N_ANTC'!$J$5:$N$5,0)),"")</f>
        <v>0.22981540847958526</v>
      </c>
      <c r="I93" s="377">
        <f>IFERROR(INDEX('EFF-N_ANTC'!$J$6:$N$96,MATCH($B93,'EFF-N_ANTC'!$A$6:$A$96,0),MATCH(I$5,'EFF-N_ANTC'!$J$5:$N$5,0)),"")</f>
        <v>0.25411318383034953</v>
      </c>
      <c r="J93" s="652">
        <v>1</v>
      </c>
      <c r="K93" s="652">
        <v>1</v>
      </c>
      <c r="L93" s="652">
        <v>1</v>
      </c>
      <c r="M93" s="652">
        <v>1</v>
      </c>
      <c r="N93" s="652">
        <v>1</v>
      </c>
      <c r="O93" s="379">
        <f>IFERROR(INDEX('CapUnit-N_ANTC'!$C$6:$C$96,MATCH($B93,'CapUnit-N_ANTC'!$A$6:$A$96,0)),"")</f>
        <v>0.11</v>
      </c>
      <c r="P93" s="684">
        <f>IFERROR(0.001*INDEX(VehicleCostData!$N$13:$T$102,MATCH($B93,VehicleCostData!$A$13:$A$102,0),MATCH(P$5,VehicleCostData!$N$12:$T$12,0)),"")</f>
        <v>2732.2653835872034</v>
      </c>
      <c r="Q93" s="684">
        <f>IFERROR(0.001*INDEX(VehicleCostData!$N$13:$T$102,MATCH($B93,VehicleCostData!$A$13:$A$102,0),MATCH(Q$5,VehicleCostData!$N$12:$T$12,0)),"")</f>
        <v>2144.4096850952737</v>
      </c>
      <c r="R93" s="684">
        <f>IFERROR(0.001*INDEX(VehicleCostData!$N$13:$T$102,MATCH($B93,VehicleCostData!$A$13:$A$102,0),MATCH(R$5,VehicleCostData!$N$12:$T$12,0)),"")</f>
        <v>1735.3003201090467</v>
      </c>
      <c r="S93" s="684">
        <f>IFERROR(0.001*INDEX(VehicleCostData!$N$13:$T$102,MATCH($B93,VehicleCostData!$A$13:$A$102,0),MATCH(S$5,VehicleCostData!$N$12:$T$12,0)),"")</f>
        <v>1638.4613018586106</v>
      </c>
      <c r="T93" s="684">
        <f>IFERROR(0.001*INDEX(VehicleCostData!$N$13:$T$102,MATCH($B93,VehicleCostData!$A$13:$A$102,0),MATCH(T$5,VehicleCostData!$N$12:$T$12,0)),"")</f>
        <v>1541.6222836081761</v>
      </c>
      <c r="U93" s="684">
        <f>IFERROR(0.001*INDEX(VehicleCostData!$N$13:$T$102,MATCH($B93,VehicleCostData!$A$13:$A$102,0),MATCH(U$5,VehicleCostData!$N$12:$T$12,0)),"")</f>
        <v>1512.8691338998497</v>
      </c>
      <c r="V93" s="684">
        <f>IFERROR(0.001*INDEX(VehicleCostData!$N$13:$T$102,MATCH($B93,VehicleCostData!$A$13:$A$102,0),MATCH(V$5,VehicleCostData!$N$12:$T$12,0)),"")</f>
        <v>1484.115984191523</v>
      </c>
      <c r="W93" s="685">
        <f>IFERROR(0.001*INDEX(VehicleCostData!$V$13:$AB$102,MATCH($B93,VehicleCostData!$A$13:$A$102,0),MATCH(W$5,VehicleCostData!$V$12:$AB$12,0)),"")</f>
        <v>51.913042288156866</v>
      </c>
      <c r="X93" s="685">
        <f>IFERROR(0.001*INDEX(VehicleCostData!$V$13:$AB$102,MATCH($B93,VehicleCostData!$A$13:$A$102,0),MATCH(X$5,VehicleCostData!$V$12:$AB$12,0)),"")</f>
        <v>32.970706082071885</v>
      </c>
      <c r="Y93" s="685">
        <f>IFERROR(0.001*INDEX(VehicleCostData!$V$13:$AB$102,MATCH($B93,VehicleCostData!$A$13:$A$102,0),MATCH(Y$5,VehicleCostData!$V$12:$AB$12,0)),"")</f>
        <v>29.290823388555346</v>
      </c>
      <c r="Z93" s="685">
        <f>IFERROR(0.001*INDEX(VehicleCostData!$V$13:$AB$102,MATCH($B93,VehicleCostData!$A$13:$A$102,0),MATCH(Z$5,VehicleCostData!$V$12:$AB$12,0)),"")</f>
        <v>28.198203699638938</v>
      </c>
      <c r="AA93" s="652">
        <v>20</v>
      </c>
      <c r="AB93" s="652">
        <v>20</v>
      </c>
      <c r="AC93" s="694">
        <f t="shared" si="1"/>
        <v>2025</v>
      </c>
      <c r="AD93" s="688">
        <v>2</v>
      </c>
    </row>
    <row r="94" spans="2:30" x14ac:dyDescent="0.25">
      <c r="B94" s="385" t="str">
        <f>IF(ITEMS_Tech_N!D94="","",ITEMS_Tech_N!D94)</f>
        <v>TFHCV7ELC-N</v>
      </c>
      <c r="C94" s="232" t="str">
        <f>IF(ITEMS_Tech_N!E94="","",ITEMS_Tech_N!E94)</f>
        <v>Transport Freight - HCV7 Electricity-N</v>
      </c>
      <c r="D94" s="219" t="s">
        <v>412</v>
      </c>
      <c r="E94" s="219" t="s">
        <v>270</v>
      </c>
      <c r="F94" s="377">
        <f>IFERROR(INDEX('EFF-N_ANTC'!$J$6:$N$96,MATCH($B94,'EFF-N_ANTC'!$A$6:$A$96,0),MATCH(F$5,'EFF-N_ANTC'!$J$5:$N$5,0)),"")</f>
        <v>0.21232261125232105</v>
      </c>
      <c r="G94" s="377">
        <f>IFERROR(INDEX('EFF-N_ANTC'!$J$6:$N$96,MATCH($B94,'EFF-N_ANTC'!$A$6:$A$96,0),MATCH(G$5,'EFF-N_ANTC'!$J$5:$N$5,0)),"")</f>
        <v>0.22436151923939637</v>
      </c>
      <c r="H94" s="377">
        <f>IFERROR(INDEX('EFF-N_ANTC'!$J$6:$N$96,MATCH($B94,'EFF-N_ANTC'!$A$6:$A$96,0),MATCH(H$5,'EFF-N_ANTC'!$J$5:$N$5,0)),"")</f>
        <v>0.24808266930457701</v>
      </c>
      <c r="I94" s="377">
        <f>IFERROR(INDEX('EFF-N_ANTC'!$J$6:$N$96,MATCH($B94,'EFF-N_ANTC'!$A$6:$A$96,0),MATCH(I$5,'EFF-N_ANTC'!$J$5:$N$5,0)),"")</f>
        <v>0.27431179383134269</v>
      </c>
      <c r="J94" s="652">
        <v>1</v>
      </c>
      <c r="K94" s="652">
        <v>1</v>
      </c>
      <c r="L94" s="652">
        <v>1</v>
      </c>
      <c r="M94" s="652">
        <v>1</v>
      </c>
      <c r="N94" s="652">
        <v>1</v>
      </c>
      <c r="O94" s="379">
        <f>IFERROR(INDEX('CapUnit-N_ANTC'!$C$6:$C$96,MATCH($B94,'CapUnit-N_ANTC'!$A$6:$A$96,0)),"")</f>
        <v>0.16</v>
      </c>
      <c r="P94" s="684">
        <f>IFERROR(0.001*INDEX(VehicleCostData!$N$13:$T$102,MATCH($B94,VehicleCostData!$A$13:$A$102,0),MATCH(P$5,VehicleCostData!$N$12:$T$12,0)),"")</f>
        <v>3643.0205114496043</v>
      </c>
      <c r="Q94" s="684">
        <f>IFERROR(0.001*INDEX(VehicleCostData!$N$13:$T$102,MATCH($B94,VehicleCostData!$A$13:$A$102,0),MATCH(Q$5,VehicleCostData!$N$12:$T$12,0)),"")</f>
        <v>2859.2129134603656</v>
      </c>
      <c r="R94" s="684">
        <f>IFERROR(0.001*INDEX(VehicleCostData!$N$13:$T$102,MATCH($B94,VehicleCostData!$A$13:$A$102,0),MATCH(R$5,VehicleCostData!$N$12:$T$12,0)),"")</f>
        <v>2313.7337601453955</v>
      </c>
      <c r="S94" s="684">
        <f>IFERROR(0.001*INDEX(VehicleCostData!$N$13:$T$102,MATCH($B94,VehicleCostData!$A$13:$A$102,0),MATCH(S$5,VehicleCostData!$N$12:$T$12,0)),"")</f>
        <v>2184.6150691448138</v>
      </c>
      <c r="T94" s="684">
        <f>IFERROR(0.001*INDEX(VehicleCostData!$N$13:$T$102,MATCH($B94,VehicleCostData!$A$13:$A$102,0),MATCH(T$5,VehicleCostData!$N$12:$T$12,0)),"")</f>
        <v>2055.4963781442348</v>
      </c>
      <c r="U94" s="684">
        <f>IFERROR(0.001*INDEX(VehicleCostData!$N$13:$T$102,MATCH($B94,VehicleCostData!$A$13:$A$102,0),MATCH(U$5,VehicleCostData!$N$12:$T$12,0)),"")</f>
        <v>2017.1588451997995</v>
      </c>
      <c r="V94" s="684">
        <f>IFERROR(0.001*INDEX(VehicleCostData!$N$13:$T$102,MATCH($B94,VehicleCostData!$A$13:$A$102,0),MATCH(V$5,VehicleCostData!$N$12:$T$12,0)),"")</f>
        <v>1978.8213122553641</v>
      </c>
      <c r="W94" s="685">
        <f>IFERROR(0.001*INDEX(VehicleCostData!$V$13:$AB$102,MATCH($B94,VehicleCostData!$A$13:$A$102,0),MATCH(W$5,VehicleCostData!$V$12:$AB$12,0)),"")</f>
        <v>69.217389717542474</v>
      </c>
      <c r="X94" s="685">
        <f>IFERROR(0.001*INDEX(VehicleCostData!$V$13:$AB$102,MATCH($B94,VehicleCostData!$A$13:$A$102,0),MATCH(X$5,VehicleCostData!$V$12:$AB$12,0)),"")</f>
        <v>43.960941442762518</v>
      </c>
      <c r="Y94" s="685">
        <f>IFERROR(0.001*INDEX(VehicleCostData!$V$13:$AB$102,MATCH($B94,VehicleCostData!$A$13:$A$102,0),MATCH(Y$5,VehicleCostData!$V$12:$AB$12,0)),"")</f>
        <v>39.054431184740459</v>
      </c>
      <c r="Z94" s="685">
        <f>IFERROR(0.001*INDEX(VehicleCostData!$V$13:$AB$102,MATCH($B94,VehicleCostData!$A$13:$A$102,0),MATCH(Z$5,VehicleCostData!$V$12:$AB$12,0)),"")</f>
        <v>37.597604932851915</v>
      </c>
      <c r="AA94" s="652">
        <v>20</v>
      </c>
      <c r="AB94" s="652">
        <v>20</v>
      </c>
      <c r="AC94" s="694">
        <f t="shared" si="1"/>
        <v>2025</v>
      </c>
      <c r="AD94" s="688">
        <v>2</v>
      </c>
    </row>
    <row r="95" spans="2:30" x14ac:dyDescent="0.25">
      <c r="B95" s="385" t="str">
        <f>IF(ITEMS_Tech_N!D95="","",ITEMS_Tech_N!D95)</f>
        <v>TFHCV8ELC-N</v>
      </c>
      <c r="C95" s="232" t="str">
        <f>IF(ITEMS_Tech_N!E95="","",ITEMS_Tech_N!E95)</f>
        <v>Transport Freight - HCV8 Electricity-N</v>
      </c>
      <c r="D95" s="219" t="s">
        <v>412</v>
      </c>
      <c r="E95" s="219" t="s">
        <v>272</v>
      </c>
      <c r="F95" s="377">
        <f>IFERROR(INDEX('EFF-N_ANTC'!$J$6:$N$96,MATCH($B95,'EFF-N_ANTC'!$A$6:$A$96,0),MATCH(F$5,'EFF-N_ANTC'!$J$5:$N$5,0)),"")</f>
        <v>0.20892802168874869</v>
      </c>
      <c r="G95" s="377">
        <f>IFERROR(INDEX('EFF-N_ANTC'!$J$6:$N$96,MATCH($B95,'EFF-N_ANTC'!$A$6:$A$96,0),MATCH(G$5,'EFF-N_ANTC'!$J$5:$N$5,0)),"")</f>
        <v>0.22077445299532031</v>
      </c>
      <c r="H95" s="377">
        <f>IFERROR(INDEX('EFF-N_ANTC'!$J$6:$N$96,MATCH($B95,'EFF-N_ANTC'!$A$6:$A$96,0),MATCH(H$5,'EFF-N_ANTC'!$J$5:$N$5,0)),"")</f>
        <v>0.24411635203315041</v>
      </c>
      <c r="I95" s="377">
        <f>IFERROR(INDEX('EFF-N_ANTC'!$J$6:$N$96,MATCH($B95,'EFF-N_ANTC'!$A$6:$A$96,0),MATCH(I$5,'EFF-N_ANTC'!$J$5:$N$5,0)),"")</f>
        <v>0.26992612832444063</v>
      </c>
      <c r="J95" s="652">
        <v>1</v>
      </c>
      <c r="K95" s="652">
        <v>1</v>
      </c>
      <c r="L95" s="652">
        <v>1</v>
      </c>
      <c r="M95" s="652">
        <v>1</v>
      </c>
      <c r="N95" s="652">
        <v>1</v>
      </c>
      <c r="O95" s="379">
        <f>IFERROR(INDEX('CapUnit-N_ANTC'!$C$6:$C$96,MATCH($B95,'CapUnit-N_ANTC'!$A$6:$A$96,0)),"")</f>
        <v>0.16</v>
      </c>
      <c r="P95" s="684">
        <f>IFERROR(0.001*INDEX(VehicleCostData!$N$13:$T$102,MATCH($B95,VehicleCostData!$A$13:$A$102,0),MATCH(P$5,VehicleCostData!$N$12:$T$12,0)),"")</f>
        <v>3643.0205114496043</v>
      </c>
      <c r="Q95" s="684">
        <f>IFERROR(0.001*INDEX(VehicleCostData!$N$13:$T$102,MATCH($B95,VehicleCostData!$A$13:$A$102,0),MATCH(Q$5,VehicleCostData!$N$12:$T$12,0)),"")</f>
        <v>2859.2129134603656</v>
      </c>
      <c r="R95" s="684">
        <f>IFERROR(0.001*INDEX(VehicleCostData!$N$13:$T$102,MATCH($B95,VehicleCostData!$A$13:$A$102,0),MATCH(R$5,VehicleCostData!$N$12:$T$12,0)),"")</f>
        <v>2313.7337601453955</v>
      </c>
      <c r="S95" s="684">
        <f>IFERROR(0.001*INDEX(VehicleCostData!$N$13:$T$102,MATCH($B95,VehicleCostData!$A$13:$A$102,0),MATCH(S$5,VehicleCostData!$N$12:$T$12,0)),"")</f>
        <v>2184.6150691448138</v>
      </c>
      <c r="T95" s="684">
        <f>IFERROR(0.001*INDEX(VehicleCostData!$N$13:$T$102,MATCH($B95,VehicleCostData!$A$13:$A$102,0),MATCH(T$5,VehicleCostData!$N$12:$T$12,0)),"")</f>
        <v>2055.4963781442348</v>
      </c>
      <c r="U95" s="684">
        <f>IFERROR(0.001*INDEX(VehicleCostData!$N$13:$T$102,MATCH($B95,VehicleCostData!$A$13:$A$102,0),MATCH(U$5,VehicleCostData!$N$12:$T$12,0)),"")</f>
        <v>2017.1588451997995</v>
      </c>
      <c r="V95" s="684">
        <f>IFERROR(0.001*INDEX(VehicleCostData!$N$13:$T$102,MATCH($B95,VehicleCostData!$A$13:$A$102,0),MATCH(V$5,VehicleCostData!$N$12:$T$12,0)),"")</f>
        <v>1978.8213122553641</v>
      </c>
      <c r="W95" s="685">
        <f>IFERROR(0.001*INDEX(VehicleCostData!$V$13:$AB$102,MATCH($B95,VehicleCostData!$A$13:$A$102,0),MATCH(W$5,VehicleCostData!$V$12:$AB$12,0)),"")</f>
        <v>69.217389717542474</v>
      </c>
      <c r="X95" s="685">
        <f>IFERROR(0.001*INDEX(VehicleCostData!$V$13:$AB$102,MATCH($B95,VehicleCostData!$A$13:$A$102,0),MATCH(X$5,VehicleCostData!$V$12:$AB$12,0)),"")</f>
        <v>43.960941442762518</v>
      </c>
      <c r="Y95" s="685">
        <f>IFERROR(0.001*INDEX(VehicleCostData!$V$13:$AB$102,MATCH($B95,VehicleCostData!$A$13:$A$102,0),MATCH(Y$5,VehicleCostData!$V$12:$AB$12,0)),"")</f>
        <v>39.054431184740459</v>
      </c>
      <c r="Z95" s="685">
        <f>IFERROR(0.001*INDEX(VehicleCostData!$V$13:$AB$102,MATCH($B95,VehicleCostData!$A$13:$A$102,0),MATCH(Z$5,VehicleCostData!$V$12:$AB$12,0)),"")</f>
        <v>37.597604932851915</v>
      </c>
      <c r="AA95" s="652">
        <v>20</v>
      </c>
      <c r="AB95" s="652">
        <v>20</v>
      </c>
      <c r="AC95" s="694">
        <f t="shared" si="1"/>
        <v>2025</v>
      </c>
      <c r="AD95" s="688">
        <v>2</v>
      </c>
    </row>
    <row r="96" spans="2:30" x14ac:dyDescent="0.25">
      <c r="B96" s="385" t="str">
        <f>IF(ITEMS_Tech_N!D96="","",ITEMS_Tech_N!D96)</f>
        <v>TFHCV9ELC-N</v>
      </c>
      <c r="C96" s="232" t="str">
        <f>IF(ITEMS_Tech_N!E96="","",ITEMS_Tech_N!E96)</f>
        <v>Transport Freight - HCV9 Electricity-N</v>
      </c>
      <c r="D96" s="219" t="s">
        <v>412</v>
      </c>
      <c r="E96" s="219" t="s">
        <v>274</v>
      </c>
      <c r="F96" s="377">
        <f>IFERROR(INDEX('EFF-N_ANTC'!$J$6:$N$96,MATCH($B96,'EFF-N_ANTC'!$A$6:$A$96,0),MATCH(F$5,'EFF-N_ANTC'!$J$5:$N$5,0)),"")</f>
        <v>0.1641727014431788</v>
      </c>
      <c r="G96" s="377">
        <f>IFERROR(INDEX('EFF-N_ANTC'!$J$6:$N$96,MATCH($B96,'EFF-N_ANTC'!$A$6:$A$96,0),MATCH(G$5,'EFF-N_ANTC'!$J$5:$N$5,0)),"")</f>
        <v>0.17348146057630393</v>
      </c>
      <c r="H96" s="377">
        <f>IFERROR(INDEX('EFF-N_ANTC'!$J$6:$N$96,MATCH($B96,'EFF-N_ANTC'!$A$6:$A$96,0),MATCH(H$5,'EFF-N_ANTC'!$J$5:$N$5,0)),"")</f>
        <v>0.19182319660041366</v>
      </c>
      <c r="I96" s="377">
        <f>IFERROR(INDEX('EFF-N_ANTC'!$J$6:$N$96,MATCH($B96,'EFF-N_ANTC'!$A$6:$A$96,0),MATCH(I$5,'EFF-N_ANTC'!$J$5:$N$5,0)),"")</f>
        <v>0.21210415586636458</v>
      </c>
      <c r="J96" s="652">
        <v>1</v>
      </c>
      <c r="K96" s="652">
        <v>1</v>
      </c>
      <c r="L96" s="652">
        <v>1</v>
      </c>
      <c r="M96" s="652">
        <v>1</v>
      </c>
      <c r="N96" s="652">
        <v>1</v>
      </c>
      <c r="O96" s="379">
        <f>IFERROR(INDEX('CapUnit-N_ANTC'!$C$6:$C$96,MATCH($B96,'CapUnit-N_ANTC'!$A$6:$A$96,0)),"")</f>
        <v>0.18</v>
      </c>
      <c r="P96" s="684">
        <f>IFERROR(0.001*INDEX(VehicleCostData!$N$13:$T$102,MATCH($B96,VehicleCostData!$A$13:$A$102,0),MATCH(P$5,VehicleCostData!$N$12:$T$12,0)),"")</f>
        <v>3643.0205114496043</v>
      </c>
      <c r="Q96" s="684">
        <f>IFERROR(0.001*INDEX(VehicleCostData!$N$13:$T$102,MATCH($B96,VehicleCostData!$A$13:$A$102,0),MATCH(Q$5,VehicleCostData!$N$12:$T$12,0)),"")</f>
        <v>2859.2129134603656</v>
      </c>
      <c r="R96" s="684">
        <f>IFERROR(0.001*INDEX(VehicleCostData!$N$13:$T$102,MATCH($B96,VehicleCostData!$A$13:$A$102,0),MATCH(R$5,VehicleCostData!$N$12:$T$12,0)),"")</f>
        <v>2313.7337601453955</v>
      </c>
      <c r="S96" s="684">
        <f>IFERROR(0.001*INDEX(VehicleCostData!$N$13:$T$102,MATCH($B96,VehicleCostData!$A$13:$A$102,0),MATCH(S$5,VehicleCostData!$N$12:$T$12,0)),"")</f>
        <v>2184.6150691448138</v>
      </c>
      <c r="T96" s="684">
        <f>IFERROR(0.001*INDEX(VehicleCostData!$N$13:$T$102,MATCH($B96,VehicleCostData!$A$13:$A$102,0),MATCH(T$5,VehicleCostData!$N$12:$T$12,0)),"")</f>
        <v>2055.4963781442348</v>
      </c>
      <c r="U96" s="684">
        <f>IFERROR(0.001*INDEX(VehicleCostData!$N$13:$T$102,MATCH($B96,VehicleCostData!$A$13:$A$102,0),MATCH(U$5,VehicleCostData!$N$12:$T$12,0)),"")</f>
        <v>2017.1588451997995</v>
      </c>
      <c r="V96" s="684">
        <f>IFERROR(0.001*INDEX(VehicleCostData!$N$13:$T$102,MATCH($B96,VehicleCostData!$A$13:$A$102,0),MATCH(V$5,VehicleCostData!$N$12:$T$12,0)),"")</f>
        <v>1978.8213122553641</v>
      </c>
      <c r="W96" s="685">
        <f>IFERROR(0.001*INDEX(VehicleCostData!$V$13:$AB$102,MATCH($B96,VehicleCostData!$A$13:$A$102,0),MATCH(W$5,VehicleCostData!$V$12:$AB$12,0)),"")</f>
        <v>69.217389717542474</v>
      </c>
      <c r="X96" s="685">
        <f>IFERROR(0.001*INDEX(VehicleCostData!$V$13:$AB$102,MATCH($B96,VehicleCostData!$A$13:$A$102,0),MATCH(X$5,VehicleCostData!$V$12:$AB$12,0)),"")</f>
        <v>43.960941442762518</v>
      </c>
      <c r="Y96" s="685">
        <f>IFERROR(0.001*INDEX(VehicleCostData!$V$13:$AB$102,MATCH($B96,VehicleCostData!$A$13:$A$102,0),MATCH(Y$5,VehicleCostData!$V$12:$AB$12,0)),"")</f>
        <v>39.054431184740459</v>
      </c>
      <c r="Z96" s="685">
        <f>IFERROR(0.001*INDEX(VehicleCostData!$V$13:$AB$102,MATCH($B96,VehicleCostData!$A$13:$A$102,0),MATCH(Z$5,VehicleCostData!$V$12:$AB$12,0)),"")</f>
        <v>37.597604932851915</v>
      </c>
      <c r="AA96" s="652">
        <v>20</v>
      </c>
      <c r="AB96" s="652">
        <v>20</v>
      </c>
      <c r="AC96" s="694">
        <f t="shared" si="1"/>
        <v>2025</v>
      </c>
      <c r="AD96" s="688">
        <v>2</v>
      </c>
    </row>
    <row r="97" spans="2:30" x14ac:dyDescent="0.25">
      <c r="B97" s="385" t="str">
        <f>IF(ITEMS_Tech_N!D97="","",ITEMS_Tech_N!D97)</f>
        <v>TFHCV2HGN-N</v>
      </c>
      <c r="C97" s="232" t="str">
        <f>IF(ITEMS_Tech_N!E97="","",ITEMS_Tech_N!E97)</f>
        <v>Transport Freight - HCV2 Hydrogen-N</v>
      </c>
      <c r="D97" s="219" t="s">
        <v>804</v>
      </c>
      <c r="E97" s="219" t="s">
        <v>259</v>
      </c>
      <c r="F97" s="377">
        <f>IFERROR(INDEX('EFF-N_ANTC'!$J$6:$N$96,MATCH($B97,'EFF-N_ANTC'!$A$6:$A$96,0),MATCH(F$5,'EFF-N_ANTC'!$J$5:$N$5,0)),"")</f>
        <v>0.24128529496710377</v>
      </c>
      <c r="G97" s="377">
        <f>IFERROR(INDEX('EFF-N_ANTC'!$J$6:$N$96,MATCH($B97,'EFF-N_ANTC'!$A$6:$A$96,0),MATCH(G$5,'EFF-N_ANTC'!$J$5:$N$5,0)),"")</f>
        <v>0.25496641657544378</v>
      </c>
      <c r="H97" s="377">
        <f>IFERROR(INDEX('EFF-N_ANTC'!$J$6:$N$96,MATCH($B97,'EFF-N_ANTC'!$A$6:$A$96,0),MATCH(H$5,'EFF-N_ANTC'!$J$5:$N$5,0)),"")</f>
        <v>0.2819233414958624</v>
      </c>
      <c r="I97" s="377">
        <f>IFERROR(INDEX('EFF-N_ANTC'!$J$6:$N$96,MATCH($B97,'EFF-N_ANTC'!$A$6:$A$96,0),MATCH(I$5,'EFF-N_ANTC'!$J$5:$N$5,0)),"")</f>
        <v>0.31173035079572736</v>
      </c>
      <c r="J97" s="652">
        <v>1</v>
      </c>
      <c r="K97" s="652">
        <v>1</v>
      </c>
      <c r="L97" s="652">
        <v>1</v>
      </c>
      <c r="M97" s="652">
        <v>1</v>
      </c>
      <c r="N97" s="652">
        <v>1</v>
      </c>
      <c r="O97" s="379">
        <f>IFERROR(INDEX('CapUnit-N_ANTC'!$C$6:$C$96,MATCH($B97,'CapUnit-N_ANTC'!$A$6:$A$96,0)),"")</f>
        <v>4.8000000000000001E-2</v>
      </c>
      <c r="P97" s="684">
        <f>IFERROR(0.001*INDEX(VehicleCostData!$N$13:$T$102,MATCH($B97,VehicleCostData!$A$13:$A$102,0),MATCH(P$5,VehicleCostData!$N$12:$T$12,0)),"")</f>
        <v>1684.0280292405832</v>
      </c>
      <c r="Q97" s="684">
        <f>IFERROR(0.001*INDEX(VehicleCostData!$N$13:$T$102,MATCH($B97,VehicleCostData!$A$13:$A$102,0),MATCH(Q$5,VehicleCostData!$N$12:$T$12,0)),"")</f>
        <v>1471.7170026125334</v>
      </c>
      <c r="R97" s="684">
        <f>IFERROR(0.001*INDEX(VehicleCostData!$N$13:$T$102,MATCH($B97,VehicleCostData!$A$13:$A$102,0),MATCH(R$5,VehicleCostData!$N$12:$T$12,0)),"")</f>
        <v>1369.5760339721874</v>
      </c>
      <c r="S97" s="684">
        <f>IFERROR(0.001*INDEX(VehicleCostData!$N$13:$T$102,MATCH($B97,VehicleCostData!$A$13:$A$102,0),MATCH(S$5,VehicleCostData!$N$12:$T$12,0)),"")</f>
        <v>1292.2229680719076</v>
      </c>
      <c r="T97" s="684">
        <f>IFERROR(0.001*INDEX(VehicleCostData!$N$13:$T$102,MATCH($B97,VehicleCostData!$A$13:$A$102,0),MATCH(T$5,VehicleCostData!$N$12:$T$12,0)),"")</f>
        <v>1214.8699021716241</v>
      </c>
      <c r="U97" s="684">
        <f>IFERROR(0.001*INDEX(VehicleCostData!$N$13:$T$102,MATCH($B97,VehicleCostData!$A$13:$A$102,0),MATCH(U$5,VehicleCostData!$N$12:$T$12,0)),"")</f>
        <v>1200.2985402841809</v>
      </c>
      <c r="V97" s="684">
        <f>IFERROR(0.001*INDEX(VehicleCostData!$N$13:$T$102,MATCH($B97,VehicleCostData!$A$13:$A$102,0),MATCH(V$5,VehicleCostData!$N$12:$T$12,0)),"")</f>
        <v>1185.7271783967374</v>
      </c>
      <c r="W97" s="685">
        <f>IFERROR(0.001*INDEX(VehicleCostData!$V$13:$AB$102,MATCH($B97,VehicleCostData!$A$13:$A$102,0),MATCH(W$5,VehicleCostData!$V$12:$AB$12,0)),"")</f>
        <v>45.46875678949575</v>
      </c>
      <c r="X97" s="685">
        <f>IFERROR(0.001*INDEX(VehicleCostData!$V$13:$AB$102,MATCH($B97,VehicleCostData!$A$13:$A$102,0),MATCH(X$5,VehicleCostData!$V$12:$AB$12,0)),"")</f>
        <v>36.978552917249061</v>
      </c>
      <c r="Y97" s="685">
        <f>IFERROR(0.001*INDEX(VehicleCostData!$V$13:$AB$102,MATCH($B97,VehicleCostData!$A$13:$A$102,0),MATCH(Y$5,VehicleCostData!$V$12:$AB$12,0)),"")</f>
        <v>32.80148735863385</v>
      </c>
      <c r="Z97" s="685">
        <f>IFERROR(0.001*INDEX(VehicleCostData!$V$13:$AB$102,MATCH($B97,VehicleCostData!$A$13:$A$102,0),MATCH(Z$5,VehicleCostData!$V$12:$AB$12,0)),"")</f>
        <v>32.014633816711914</v>
      </c>
      <c r="AA97" s="652">
        <v>20</v>
      </c>
      <c r="AB97" s="652">
        <v>20</v>
      </c>
      <c r="AC97" s="694">
        <f t="shared" si="1"/>
        <v>2025</v>
      </c>
      <c r="AD97" s="688">
        <v>2</v>
      </c>
    </row>
    <row r="98" spans="2:30" x14ac:dyDescent="0.25">
      <c r="B98" s="385" t="str">
        <f>IF(ITEMS_Tech_N!D98="","",ITEMS_Tech_N!D98)</f>
        <v>TFHCV3HGN-N</v>
      </c>
      <c r="C98" s="232" t="str">
        <f>IF(ITEMS_Tech_N!E98="","",ITEMS_Tech_N!E98)</f>
        <v>Transport Freight - HCV3 Hydrogen-N</v>
      </c>
      <c r="D98" s="219" t="s">
        <v>804</v>
      </c>
      <c r="E98" s="219" t="s">
        <v>261</v>
      </c>
      <c r="F98" s="377">
        <f>IFERROR(INDEX('EFF-N_ANTC'!$J$6:$N$96,MATCH($B98,'EFF-N_ANTC'!$A$6:$A$96,0),MATCH(F$5,'EFF-N_ANTC'!$J$5:$N$5,0)),"")</f>
        <v>0.24128529496710377</v>
      </c>
      <c r="G98" s="377">
        <f>IFERROR(INDEX('EFF-N_ANTC'!$J$6:$N$96,MATCH($B98,'EFF-N_ANTC'!$A$6:$A$96,0),MATCH(G$5,'EFF-N_ANTC'!$J$5:$N$5,0)),"")</f>
        <v>0.25496641657544378</v>
      </c>
      <c r="H98" s="377">
        <f>IFERROR(INDEX('EFF-N_ANTC'!$J$6:$N$96,MATCH($B98,'EFF-N_ANTC'!$A$6:$A$96,0),MATCH(H$5,'EFF-N_ANTC'!$J$5:$N$5,0)),"")</f>
        <v>0.2819233414958624</v>
      </c>
      <c r="I98" s="377">
        <f>IFERROR(INDEX('EFF-N_ANTC'!$J$6:$N$96,MATCH($B98,'EFF-N_ANTC'!$A$6:$A$96,0),MATCH(I$5,'EFF-N_ANTC'!$J$5:$N$5,0)),"")</f>
        <v>0.31173035079572736</v>
      </c>
      <c r="J98" s="652">
        <v>1</v>
      </c>
      <c r="K98" s="652">
        <v>1</v>
      </c>
      <c r="L98" s="652">
        <v>1</v>
      </c>
      <c r="M98" s="652">
        <v>1</v>
      </c>
      <c r="N98" s="652">
        <v>1</v>
      </c>
      <c r="O98" s="379">
        <f>IFERROR(INDEX('CapUnit-N_ANTC'!$C$6:$C$96,MATCH($B98,'CapUnit-N_ANTC'!$A$6:$A$96,0)),"")</f>
        <v>4.8000000000000001E-2</v>
      </c>
      <c r="P98" s="684">
        <f>IFERROR(0.001*INDEX(VehicleCostData!$N$13:$T$102,MATCH($B98,VehicleCostData!$A$13:$A$102,0),MATCH(P$5,VehicleCostData!$N$12:$T$12,0)),"")</f>
        <v>1684.0280292405832</v>
      </c>
      <c r="Q98" s="684">
        <f>IFERROR(0.001*INDEX(VehicleCostData!$N$13:$T$102,MATCH($B98,VehicleCostData!$A$13:$A$102,0),MATCH(Q$5,VehicleCostData!$N$12:$T$12,0)),"")</f>
        <v>1471.7170026125334</v>
      </c>
      <c r="R98" s="684">
        <f>IFERROR(0.001*INDEX(VehicleCostData!$N$13:$T$102,MATCH($B98,VehicleCostData!$A$13:$A$102,0),MATCH(R$5,VehicleCostData!$N$12:$T$12,0)),"")</f>
        <v>1369.5760339721874</v>
      </c>
      <c r="S98" s="684">
        <f>IFERROR(0.001*INDEX(VehicleCostData!$N$13:$T$102,MATCH($B98,VehicleCostData!$A$13:$A$102,0),MATCH(S$5,VehicleCostData!$N$12:$T$12,0)),"")</f>
        <v>1292.2229680719076</v>
      </c>
      <c r="T98" s="684">
        <f>IFERROR(0.001*INDEX(VehicleCostData!$N$13:$T$102,MATCH($B98,VehicleCostData!$A$13:$A$102,0),MATCH(T$5,VehicleCostData!$N$12:$T$12,0)),"")</f>
        <v>1214.8699021716241</v>
      </c>
      <c r="U98" s="684">
        <f>IFERROR(0.001*INDEX(VehicleCostData!$N$13:$T$102,MATCH($B98,VehicleCostData!$A$13:$A$102,0),MATCH(U$5,VehicleCostData!$N$12:$T$12,0)),"")</f>
        <v>1200.2985402841809</v>
      </c>
      <c r="V98" s="684">
        <f>IFERROR(0.001*INDEX(VehicleCostData!$N$13:$T$102,MATCH($B98,VehicleCostData!$A$13:$A$102,0),MATCH(V$5,VehicleCostData!$N$12:$T$12,0)),"")</f>
        <v>1185.7271783967374</v>
      </c>
      <c r="W98" s="685">
        <f>IFERROR(0.001*INDEX(VehicleCostData!$V$13:$AB$102,MATCH($B98,VehicleCostData!$A$13:$A$102,0),MATCH(W$5,VehicleCostData!$V$12:$AB$12,0)),"")</f>
        <v>45.46875678949575</v>
      </c>
      <c r="X98" s="685">
        <f>IFERROR(0.001*INDEX(VehicleCostData!$V$13:$AB$102,MATCH($B98,VehicleCostData!$A$13:$A$102,0),MATCH(X$5,VehicleCostData!$V$12:$AB$12,0)),"")</f>
        <v>36.978552917249061</v>
      </c>
      <c r="Y98" s="685">
        <f>IFERROR(0.001*INDEX(VehicleCostData!$V$13:$AB$102,MATCH($B98,VehicleCostData!$A$13:$A$102,0),MATCH(Y$5,VehicleCostData!$V$12:$AB$12,0)),"")</f>
        <v>32.80148735863385</v>
      </c>
      <c r="Z98" s="685">
        <f>IFERROR(0.001*INDEX(VehicleCostData!$V$13:$AB$102,MATCH($B98,VehicleCostData!$A$13:$A$102,0),MATCH(Z$5,VehicleCostData!$V$12:$AB$12,0)),"")</f>
        <v>32.014633816711914</v>
      </c>
      <c r="AA98" s="652">
        <v>20</v>
      </c>
      <c r="AB98" s="652">
        <v>20</v>
      </c>
      <c r="AC98" s="694">
        <f t="shared" si="1"/>
        <v>2025</v>
      </c>
      <c r="AD98" s="688">
        <v>2</v>
      </c>
    </row>
    <row r="99" spans="2:30" x14ac:dyDescent="0.25">
      <c r="B99" s="385" t="str">
        <f>IF(ITEMS_Tech_N!D99="","",ITEMS_Tech_N!D99)</f>
        <v>TFHCV4HGN-N</v>
      </c>
      <c r="C99" s="232" t="str">
        <f>IF(ITEMS_Tech_N!E99="","",ITEMS_Tech_N!E99)</f>
        <v>Transport Freight - HCV4 Hydrogen-N</v>
      </c>
      <c r="D99" s="219" t="s">
        <v>804</v>
      </c>
      <c r="E99" s="219" t="s">
        <v>263</v>
      </c>
      <c r="F99" s="377">
        <f>IFERROR(INDEX('EFF-N_ANTC'!$J$6:$N$96,MATCH($B99,'EFF-N_ANTC'!$A$6:$A$96,0),MATCH(F$5,'EFF-N_ANTC'!$J$5:$N$5,0)),"")</f>
        <v>0.1946107646530921</v>
      </c>
      <c r="G99" s="377">
        <f>IFERROR(INDEX('EFF-N_ANTC'!$J$6:$N$96,MATCH($B99,'EFF-N_ANTC'!$A$6:$A$96,0),MATCH(G$5,'EFF-N_ANTC'!$J$5:$N$5,0)),"")</f>
        <v>0.20564539292529566</v>
      </c>
      <c r="H99" s="377">
        <f>IFERROR(INDEX('EFF-N_ANTC'!$J$6:$N$96,MATCH($B99,'EFF-N_ANTC'!$A$6:$A$96,0),MATCH(H$5,'EFF-N_ANTC'!$J$5:$N$5,0)),"")</f>
        <v>0.22738773645341617</v>
      </c>
      <c r="I99" s="377">
        <f>IFERROR(INDEX('EFF-N_ANTC'!$J$6:$N$96,MATCH($B99,'EFF-N_ANTC'!$A$6:$A$96,0),MATCH(I$5,'EFF-N_ANTC'!$J$5:$N$5,0)),"")</f>
        <v>0.25142884046126468</v>
      </c>
      <c r="J99" s="652">
        <v>1</v>
      </c>
      <c r="K99" s="652">
        <v>1</v>
      </c>
      <c r="L99" s="652">
        <v>1</v>
      </c>
      <c r="M99" s="652">
        <v>1</v>
      </c>
      <c r="N99" s="652">
        <v>1</v>
      </c>
      <c r="O99" s="379">
        <f>IFERROR(INDEX('CapUnit-N_ANTC'!$C$6:$C$96,MATCH($B99,'CapUnit-N_ANTC'!$A$6:$A$96,0)),"")</f>
        <v>8.4999999999999992E-2</v>
      </c>
      <c r="P99" s="684">
        <f>IFERROR(0.001*INDEX(VehicleCostData!$N$13:$T$102,MATCH($B99,VehicleCostData!$A$13:$A$102,0),MATCH(P$5,VehicleCostData!$N$12:$T$12,0)),"")</f>
        <v>3230.3757008383614</v>
      </c>
      <c r="Q99" s="684">
        <f>IFERROR(0.001*INDEX(VehicleCostData!$N$13:$T$102,MATCH($B99,VehicleCostData!$A$13:$A$102,0),MATCH(Q$5,VehicleCostData!$N$12:$T$12,0)),"")</f>
        <v>2823.1114691684274</v>
      </c>
      <c r="R99" s="684">
        <f>IFERROR(0.001*INDEX(VehicleCostData!$N$13:$T$102,MATCH($B99,VehicleCostData!$A$13:$A$102,0),MATCH(R$5,VehicleCostData!$N$12:$T$12,0)),"")</f>
        <v>2627.1802272729706</v>
      </c>
      <c r="S99" s="684">
        <f>IFERROR(0.001*INDEX(VehicleCostData!$N$13:$T$102,MATCH($B99,VehicleCostData!$A$13:$A$102,0),MATCH(S$5,VehicleCostData!$N$12:$T$12,0)),"")</f>
        <v>2478.7982169199145</v>
      </c>
      <c r="T99" s="684">
        <f>IFERROR(0.001*INDEX(VehicleCostData!$N$13:$T$102,MATCH($B99,VehicleCostData!$A$13:$A$102,0),MATCH(T$5,VehicleCostData!$N$12:$T$12,0)),"")</f>
        <v>2330.416206566852</v>
      </c>
      <c r="U99" s="684">
        <f>IFERROR(0.001*INDEX(VehicleCostData!$N$13:$T$102,MATCH($B99,VehicleCostData!$A$13:$A$102,0),MATCH(U$5,VehicleCostData!$N$12:$T$12,0)),"")</f>
        <v>2302.4647873790459</v>
      </c>
      <c r="V99" s="684">
        <f>IFERROR(0.001*INDEX(VehicleCostData!$N$13:$T$102,MATCH($B99,VehicleCostData!$A$13:$A$102,0),MATCH(V$5,VehicleCostData!$N$12:$T$12,0)),"")</f>
        <v>2274.5133681912389</v>
      </c>
      <c r="W99" s="685">
        <f>IFERROR(0.001*INDEX(VehicleCostData!$V$13:$AB$102,MATCH($B99,VehicleCostData!$A$13:$A$102,0),MATCH(W$5,VehicleCostData!$V$12:$AB$12,0)),"")</f>
        <v>87.220143922635756</v>
      </c>
      <c r="X99" s="685">
        <f>IFERROR(0.001*INDEX(VehicleCostData!$V$13:$AB$102,MATCH($B99,VehicleCostData!$A$13:$A$102,0),MATCH(X$5,VehicleCostData!$V$12:$AB$12,0)),"")</f>
        <v>70.933866136370213</v>
      </c>
      <c r="Y99" s="685">
        <f>IFERROR(0.001*INDEX(VehicleCostData!$V$13:$AB$102,MATCH($B99,VehicleCostData!$A$13:$A$102,0),MATCH(Y$5,VehicleCostData!$V$12:$AB$12,0)),"")</f>
        <v>62.921237577305007</v>
      </c>
      <c r="Z99" s="685">
        <f>IFERROR(0.001*INDEX(VehicleCostData!$V$13:$AB$102,MATCH($B99,VehicleCostData!$A$13:$A$102,0),MATCH(Z$5,VehicleCostData!$V$12:$AB$12,0)),"")</f>
        <v>61.411860941163454</v>
      </c>
      <c r="AA99" s="652">
        <v>20</v>
      </c>
      <c r="AB99" s="652">
        <v>20</v>
      </c>
      <c r="AC99" s="694">
        <f t="shared" si="1"/>
        <v>2025</v>
      </c>
      <c r="AD99" s="688">
        <v>2</v>
      </c>
    </row>
    <row r="100" spans="2:30" x14ac:dyDescent="0.25">
      <c r="B100" s="385" t="str">
        <f>IF(ITEMS_Tech_N!D100="","",ITEMS_Tech_N!D100)</f>
        <v>TFHCV5HGN-N</v>
      </c>
      <c r="C100" s="232" t="str">
        <f>IF(ITEMS_Tech_N!E100="","",ITEMS_Tech_N!E100)</f>
        <v>Transport Freight - HCV5 Hydrogen-N</v>
      </c>
      <c r="D100" s="219" t="s">
        <v>804</v>
      </c>
      <c r="E100" s="219" t="s">
        <v>265</v>
      </c>
      <c r="F100" s="377">
        <f>IFERROR(INDEX('EFF-N_ANTC'!$J$6:$N$96,MATCH($B100,'EFF-N_ANTC'!$A$6:$A$96,0),MATCH(F$5,'EFF-N_ANTC'!$J$5:$N$5,0)),"")</f>
        <v>0.1946107646530921</v>
      </c>
      <c r="G100" s="377">
        <f>IFERROR(INDEX('EFF-N_ANTC'!$J$6:$N$96,MATCH($B100,'EFF-N_ANTC'!$A$6:$A$96,0),MATCH(G$5,'EFF-N_ANTC'!$J$5:$N$5,0)),"")</f>
        <v>0.20564539292529566</v>
      </c>
      <c r="H100" s="377">
        <f>IFERROR(INDEX('EFF-N_ANTC'!$J$6:$N$96,MATCH($B100,'EFF-N_ANTC'!$A$6:$A$96,0),MATCH(H$5,'EFF-N_ANTC'!$J$5:$N$5,0)),"")</f>
        <v>0.22738773645341617</v>
      </c>
      <c r="I100" s="377">
        <f>IFERROR(INDEX('EFF-N_ANTC'!$J$6:$N$96,MATCH($B100,'EFF-N_ANTC'!$A$6:$A$96,0),MATCH(I$5,'EFF-N_ANTC'!$J$5:$N$5,0)),"")</f>
        <v>0.25142884046126468</v>
      </c>
      <c r="J100" s="652">
        <v>1</v>
      </c>
      <c r="K100" s="652">
        <v>1</v>
      </c>
      <c r="L100" s="652">
        <v>1</v>
      </c>
      <c r="M100" s="652">
        <v>1</v>
      </c>
      <c r="N100" s="652">
        <v>1</v>
      </c>
      <c r="O100" s="379">
        <f>IFERROR(INDEX('CapUnit-N_ANTC'!$C$6:$C$96,MATCH($B100,'CapUnit-N_ANTC'!$A$6:$A$96,0)),"")</f>
        <v>8.4999999999999992E-2</v>
      </c>
      <c r="P100" s="684">
        <f>IFERROR(0.001*INDEX(VehicleCostData!$N$13:$T$102,MATCH($B100,VehicleCostData!$A$13:$A$102,0),MATCH(P$5,VehicleCostData!$N$12:$T$12,0)),"")</f>
        <v>3230.3757008383614</v>
      </c>
      <c r="Q100" s="684">
        <f>IFERROR(0.001*INDEX(VehicleCostData!$N$13:$T$102,MATCH($B100,VehicleCostData!$A$13:$A$102,0),MATCH(Q$5,VehicleCostData!$N$12:$T$12,0)),"")</f>
        <v>2823.1114691684274</v>
      </c>
      <c r="R100" s="684">
        <f>IFERROR(0.001*INDEX(VehicleCostData!$N$13:$T$102,MATCH($B100,VehicleCostData!$A$13:$A$102,0),MATCH(R$5,VehicleCostData!$N$12:$T$12,0)),"")</f>
        <v>2627.1802272729706</v>
      </c>
      <c r="S100" s="684">
        <f>IFERROR(0.001*INDEX(VehicleCostData!$N$13:$T$102,MATCH($B100,VehicleCostData!$A$13:$A$102,0),MATCH(S$5,VehicleCostData!$N$12:$T$12,0)),"")</f>
        <v>2478.7982169199145</v>
      </c>
      <c r="T100" s="684">
        <f>IFERROR(0.001*INDEX(VehicleCostData!$N$13:$T$102,MATCH($B100,VehicleCostData!$A$13:$A$102,0),MATCH(T$5,VehicleCostData!$N$12:$T$12,0)),"")</f>
        <v>2330.416206566852</v>
      </c>
      <c r="U100" s="684">
        <f>IFERROR(0.001*INDEX(VehicleCostData!$N$13:$T$102,MATCH($B100,VehicleCostData!$A$13:$A$102,0),MATCH(U$5,VehicleCostData!$N$12:$T$12,0)),"")</f>
        <v>2302.4647873790459</v>
      </c>
      <c r="V100" s="684">
        <f>IFERROR(0.001*INDEX(VehicleCostData!$N$13:$T$102,MATCH($B100,VehicleCostData!$A$13:$A$102,0),MATCH(V$5,VehicleCostData!$N$12:$T$12,0)),"")</f>
        <v>2274.5133681912389</v>
      </c>
      <c r="W100" s="685">
        <f>IFERROR(0.001*INDEX(VehicleCostData!$V$13:$AB$102,MATCH($B100,VehicleCostData!$A$13:$A$102,0),MATCH(W$5,VehicleCostData!$V$12:$AB$12,0)),"")</f>
        <v>87.220143922635756</v>
      </c>
      <c r="X100" s="685">
        <f>IFERROR(0.001*INDEX(VehicleCostData!$V$13:$AB$102,MATCH($B100,VehicleCostData!$A$13:$A$102,0),MATCH(X$5,VehicleCostData!$V$12:$AB$12,0)),"")</f>
        <v>70.933866136370213</v>
      </c>
      <c r="Y100" s="685">
        <f>IFERROR(0.001*INDEX(VehicleCostData!$V$13:$AB$102,MATCH($B100,VehicleCostData!$A$13:$A$102,0),MATCH(Y$5,VehicleCostData!$V$12:$AB$12,0)),"")</f>
        <v>62.921237577305007</v>
      </c>
      <c r="Z100" s="685">
        <f>IFERROR(0.001*INDEX(VehicleCostData!$V$13:$AB$102,MATCH($B100,VehicleCostData!$A$13:$A$102,0),MATCH(Z$5,VehicleCostData!$V$12:$AB$12,0)),"")</f>
        <v>61.411860941163454</v>
      </c>
      <c r="AA100" s="652">
        <v>20</v>
      </c>
      <c r="AB100" s="652">
        <v>20</v>
      </c>
      <c r="AC100" s="694">
        <f t="shared" si="1"/>
        <v>2025</v>
      </c>
      <c r="AD100" s="688">
        <v>2</v>
      </c>
    </row>
    <row r="101" spans="2:30" x14ac:dyDescent="0.25">
      <c r="B101" s="385" t="str">
        <f>IF(ITEMS_Tech_N!D101="","",ITEMS_Tech_N!D101)</f>
        <v>TFHCV6HGN-N</v>
      </c>
      <c r="C101" s="232" t="str">
        <f>IF(ITEMS_Tech_N!E101="","",ITEMS_Tech_N!E101)</f>
        <v>Transport Freight - HCV6 Hydrogen-N</v>
      </c>
      <c r="D101" s="219" t="s">
        <v>804</v>
      </c>
      <c r="E101" s="219" t="s">
        <v>267</v>
      </c>
      <c r="F101" s="377">
        <f>IFERROR(INDEX('EFF-N_ANTC'!$J$6:$N$96,MATCH($B101,'EFF-N_ANTC'!$A$6:$A$96,0),MATCH(F$5,'EFF-N_ANTC'!$J$5:$N$5,0)),"")</f>
        <v>0.1946107646530921</v>
      </c>
      <c r="G101" s="377">
        <f>IFERROR(INDEX('EFF-N_ANTC'!$J$6:$N$96,MATCH($B101,'EFF-N_ANTC'!$A$6:$A$96,0),MATCH(G$5,'EFF-N_ANTC'!$J$5:$N$5,0)),"")</f>
        <v>0.20564539292529566</v>
      </c>
      <c r="H101" s="377">
        <f>IFERROR(INDEX('EFF-N_ANTC'!$J$6:$N$96,MATCH($B101,'EFF-N_ANTC'!$A$6:$A$96,0),MATCH(H$5,'EFF-N_ANTC'!$J$5:$N$5,0)),"")</f>
        <v>0.22738773645341617</v>
      </c>
      <c r="I101" s="377">
        <f>IFERROR(INDEX('EFF-N_ANTC'!$J$6:$N$96,MATCH($B101,'EFF-N_ANTC'!$A$6:$A$96,0),MATCH(I$5,'EFF-N_ANTC'!$J$5:$N$5,0)),"")</f>
        <v>0.25142884046126468</v>
      </c>
      <c r="J101" s="652">
        <v>1</v>
      </c>
      <c r="K101" s="652">
        <v>1</v>
      </c>
      <c r="L101" s="652">
        <v>1</v>
      </c>
      <c r="M101" s="652">
        <v>1</v>
      </c>
      <c r="N101" s="652">
        <v>1</v>
      </c>
      <c r="O101" s="379">
        <f>IFERROR(INDEX('CapUnit-N_ANTC'!$C$6:$C$96,MATCH($B101,'CapUnit-N_ANTC'!$A$6:$A$96,0)),"")</f>
        <v>0.11</v>
      </c>
      <c r="P101" s="684">
        <f>IFERROR(0.001*INDEX(VehicleCostData!$N$13:$T$102,MATCH($B101,VehicleCostData!$A$13:$A$102,0),MATCH(P$5,VehicleCostData!$N$12:$T$12,0)),"")</f>
        <v>3230.3757008383614</v>
      </c>
      <c r="Q101" s="684">
        <f>IFERROR(0.001*INDEX(VehicleCostData!$N$13:$T$102,MATCH($B101,VehicleCostData!$A$13:$A$102,0),MATCH(Q$5,VehicleCostData!$N$12:$T$12,0)),"")</f>
        <v>2823.1114691684274</v>
      </c>
      <c r="R101" s="684">
        <f>IFERROR(0.001*INDEX(VehicleCostData!$N$13:$T$102,MATCH($B101,VehicleCostData!$A$13:$A$102,0),MATCH(R$5,VehicleCostData!$N$12:$T$12,0)),"")</f>
        <v>2627.1802272729706</v>
      </c>
      <c r="S101" s="684">
        <f>IFERROR(0.001*INDEX(VehicleCostData!$N$13:$T$102,MATCH($B101,VehicleCostData!$A$13:$A$102,0),MATCH(S$5,VehicleCostData!$N$12:$T$12,0)),"")</f>
        <v>2478.7982169199145</v>
      </c>
      <c r="T101" s="684">
        <f>IFERROR(0.001*INDEX(VehicleCostData!$N$13:$T$102,MATCH($B101,VehicleCostData!$A$13:$A$102,0),MATCH(T$5,VehicleCostData!$N$12:$T$12,0)),"")</f>
        <v>2330.416206566852</v>
      </c>
      <c r="U101" s="684">
        <f>IFERROR(0.001*INDEX(VehicleCostData!$N$13:$T$102,MATCH($B101,VehicleCostData!$A$13:$A$102,0),MATCH(U$5,VehicleCostData!$N$12:$T$12,0)),"")</f>
        <v>2302.4647873790459</v>
      </c>
      <c r="V101" s="684">
        <f>IFERROR(0.001*INDEX(VehicleCostData!$N$13:$T$102,MATCH($B101,VehicleCostData!$A$13:$A$102,0),MATCH(V$5,VehicleCostData!$N$12:$T$12,0)),"")</f>
        <v>2274.5133681912389</v>
      </c>
      <c r="W101" s="685">
        <f>IFERROR(0.001*INDEX(VehicleCostData!$V$13:$AB$102,MATCH($B101,VehicleCostData!$A$13:$A$102,0),MATCH(W$5,VehicleCostData!$V$12:$AB$12,0)),"")</f>
        <v>87.220143922635756</v>
      </c>
      <c r="X101" s="685">
        <f>IFERROR(0.001*INDEX(VehicleCostData!$V$13:$AB$102,MATCH($B101,VehicleCostData!$A$13:$A$102,0),MATCH(X$5,VehicleCostData!$V$12:$AB$12,0)),"")</f>
        <v>70.933866136370213</v>
      </c>
      <c r="Y101" s="685">
        <f>IFERROR(0.001*INDEX(VehicleCostData!$V$13:$AB$102,MATCH($B101,VehicleCostData!$A$13:$A$102,0),MATCH(Y$5,VehicleCostData!$V$12:$AB$12,0)),"")</f>
        <v>62.921237577305007</v>
      </c>
      <c r="Z101" s="685">
        <f>IFERROR(0.001*INDEX(VehicleCostData!$V$13:$AB$102,MATCH($B101,VehicleCostData!$A$13:$A$102,0),MATCH(Z$5,VehicleCostData!$V$12:$AB$12,0)),"")</f>
        <v>61.411860941163454</v>
      </c>
      <c r="AA101" s="652">
        <v>20</v>
      </c>
      <c r="AB101" s="652">
        <v>20</v>
      </c>
      <c r="AC101" s="694">
        <f t="shared" si="1"/>
        <v>2025</v>
      </c>
      <c r="AD101" s="688">
        <v>2</v>
      </c>
    </row>
    <row r="102" spans="2:30" x14ac:dyDescent="0.25">
      <c r="B102" s="385" t="str">
        <f>IF(ITEMS_Tech_N!D102="","",ITEMS_Tech_N!D102)</f>
        <v>TFHCV7HGN-N</v>
      </c>
      <c r="C102" s="232" t="str">
        <f>IF(ITEMS_Tech_N!E102="","",ITEMS_Tech_N!E102)</f>
        <v>Transport Freight - HCV7 Hydrogen-N</v>
      </c>
      <c r="D102" s="219" t="s">
        <v>804</v>
      </c>
      <c r="E102" s="219" t="s">
        <v>270</v>
      </c>
      <c r="F102" s="377">
        <f>IFERROR(INDEX('EFF-N_ANTC'!$J$6:$N$96,MATCH($B102,'EFF-N_ANTC'!$A$6:$A$96,0),MATCH(F$5,'EFF-N_ANTC'!$J$5:$N$5,0)),"")</f>
        <v>0.17779118452758197</v>
      </c>
      <c r="G102" s="377">
        <f>IFERROR(INDEX('EFF-N_ANTC'!$J$6:$N$96,MATCH($B102,'EFF-N_ANTC'!$A$6:$A$96,0),MATCH(G$5,'EFF-N_ANTC'!$J$5:$N$5,0)),"")</f>
        <v>0.18787212550139593</v>
      </c>
      <c r="H102" s="377">
        <f>IFERROR(INDEX('EFF-N_ANTC'!$J$6:$N$96,MATCH($B102,'EFF-N_ANTC'!$A$6:$A$96,0),MATCH(H$5,'EFF-N_ANTC'!$J$5:$N$5,0)),"")</f>
        <v>0.20773534846935901</v>
      </c>
      <c r="I102" s="377">
        <f>IFERROR(INDEX('EFF-N_ANTC'!$J$6:$N$96,MATCH($B102,'EFF-N_ANTC'!$A$6:$A$96,0),MATCH(I$5,'EFF-N_ANTC'!$J$5:$N$5,0)),"")</f>
        <v>0.22969865746989365</v>
      </c>
      <c r="J102" s="652">
        <v>1</v>
      </c>
      <c r="K102" s="652">
        <v>1</v>
      </c>
      <c r="L102" s="652">
        <v>1</v>
      </c>
      <c r="M102" s="652">
        <v>1</v>
      </c>
      <c r="N102" s="652">
        <v>1</v>
      </c>
      <c r="O102" s="379">
        <f>IFERROR(INDEX('CapUnit-N_ANTC'!$C$6:$C$96,MATCH($B102,'CapUnit-N_ANTC'!$A$6:$A$96,0)),"")</f>
        <v>0.11</v>
      </c>
      <c r="P102" s="684">
        <f>IFERROR(0.001*INDEX(VehicleCostData!$N$13:$T$102,MATCH($B102,VehicleCostData!$A$13:$A$102,0),MATCH(P$5,VehicleCostData!$N$12:$T$12,0)),"")</f>
        <v>4307.1676011178151</v>
      </c>
      <c r="Q102" s="684">
        <f>IFERROR(0.001*INDEX(VehicleCostData!$N$13:$T$102,MATCH($B102,VehicleCostData!$A$13:$A$102,0),MATCH(Q$5,VehicleCostData!$N$12:$T$12,0)),"")</f>
        <v>3764.1486255579034</v>
      </c>
      <c r="R102" s="684">
        <f>IFERROR(0.001*INDEX(VehicleCostData!$N$13:$T$102,MATCH($B102,VehicleCostData!$A$13:$A$102,0),MATCH(R$5,VehicleCostData!$N$12:$T$12,0)),"")</f>
        <v>3502.9069696972938</v>
      </c>
      <c r="S102" s="684">
        <f>IFERROR(0.001*INDEX(VehicleCostData!$N$13:$T$102,MATCH($B102,VehicleCostData!$A$13:$A$102,0),MATCH(S$5,VehicleCostData!$N$12:$T$12,0)),"")</f>
        <v>3305.0642892265532</v>
      </c>
      <c r="T102" s="684">
        <f>IFERROR(0.001*INDEX(VehicleCostData!$N$13:$T$102,MATCH($B102,VehicleCostData!$A$13:$A$102,0),MATCH(T$5,VehicleCostData!$N$12:$T$12,0)),"")</f>
        <v>3107.2216087558027</v>
      </c>
      <c r="U102" s="684">
        <f>IFERROR(0.001*INDEX(VehicleCostData!$N$13:$T$102,MATCH($B102,VehicleCostData!$A$13:$A$102,0),MATCH(U$5,VehicleCostData!$N$12:$T$12,0)),"")</f>
        <v>3069.953049838728</v>
      </c>
      <c r="V102" s="684">
        <f>IFERROR(0.001*INDEX(VehicleCostData!$N$13:$T$102,MATCH($B102,VehicleCostData!$A$13:$A$102,0),MATCH(V$5,VehicleCostData!$N$12:$T$12,0)),"")</f>
        <v>3032.6844909216516</v>
      </c>
      <c r="W102" s="685">
        <f>IFERROR(0.001*INDEX(VehicleCostData!$V$13:$AB$102,MATCH($B102,VehicleCostData!$A$13:$A$102,0),MATCH(W$5,VehicleCostData!$V$12:$AB$12,0)),"")</f>
        <v>116.293525230181</v>
      </c>
      <c r="X102" s="685">
        <f>IFERROR(0.001*INDEX(VehicleCostData!$V$13:$AB$102,MATCH($B102,VehicleCostData!$A$13:$A$102,0),MATCH(X$5,VehicleCostData!$V$12:$AB$12,0)),"")</f>
        <v>94.578488181826941</v>
      </c>
      <c r="Y102" s="685">
        <f>IFERROR(0.001*INDEX(VehicleCostData!$V$13:$AB$102,MATCH($B102,VehicleCostData!$A$13:$A$102,0),MATCH(Y$5,VehicleCostData!$V$12:$AB$12,0)),"")</f>
        <v>83.894983436406676</v>
      </c>
      <c r="Z102" s="685">
        <f>IFERROR(0.001*INDEX(VehicleCostData!$V$13:$AB$102,MATCH($B102,VehicleCostData!$A$13:$A$102,0),MATCH(Z$5,VehicleCostData!$V$12:$AB$12,0)),"")</f>
        <v>81.882481254884596</v>
      </c>
      <c r="AA102" s="652">
        <v>20</v>
      </c>
      <c r="AB102" s="652">
        <v>20</v>
      </c>
      <c r="AC102" s="694">
        <f t="shared" si="1"/>
        <v>2025</v>
      </c>
      <c r="AD102" s="688">
        <v>2</v>
      </c>
    </row>
    <row r="103" spans="2:30" x14ac:dyDescent="0.25">
      <c r="B103" s="385" t="str">
        <f>IF(ITEMS_Tech_N!D103="","",ITEMS_Tech_N!D103)</f>
        <v>TFHCV8HGN-N</v>
      </c>
      <c r="C103" s="232" t="str">
        <f>IF(ITEMS_Tech_N!E103="","",ITEMS_Tech_N!E103)</f>
        <v>Transport Freight - HCV8 Hydrogen-N</v>
      </c>
      <c r="D103" s="219" t="s">
        <v>804</v>
      </c>
      <c r="E103" s="219" t="s">
        <v>272</v>
      </c>
      <c r="F103" s="377">
        <f>IFERROR(INDEX('EFF-N_ANTC'!$J$6:$N$96,MATCH($B103,'EFF-N_ANTC'!$A$6:$A$96,0),MATCH(F$5,'EFF-N_ANTC'!$J$5:$N$5,0)),"")</f>
        <v>0.17779118452758197</v>
      </c>
      <c r="G103" s="377">
        <f>IFERROR(INDEX('EFF-N_ANTC'!$J$6:$N$96,MATCH($B103,'EFF-N_ANTC'!$A$6:$A$96,0),MATCH(G$5,'EFF-N_ANTC'!$J$5:$N$5,0)),"")</f>
        <v>0.18787212550139593</v>
      </c>
      <c r="H103" s="377">
        <f>IFERROR(INDEX('EFF-N_ANTC'!$J$6:$N$96,MATCH($B103,'EFF-N_ANTC'!$A$6:$A$96,0),MATCH(H$5,'EFF-N_ANTC'!$J$5:$N$5,0)),"")</f>
        <v>0.20773534846935901</v>
      </c>
      <c r="I103" s="377">
        <f>IFERROR(INDEX('EFF-N_ANTC'!$J$6:$N$96,MATCH($B103,'EFF-N_ANTC'!$A$6:$A$96,0),MATCH(I$5,'EFF-N_ANTC'!$J$5:$N$5,0)),"")</f>
        <v>0.22969865746989365</v>
      </c>
      <c r="J103" s="652">
        <v>1</v>
      </c>
      <c r="K103" s="652">
        <v>1</v>
      </c>
      <c r="L103" s="652">
        <v>1</v>
      </c>
      <c r="M103" s="652">
        <v>1</v>
      </c>
      <c r="N103" s="652">
        <v>1</v>
      </c>
      <c r="O103" s="379">
        <f>IFERROR(INDEX('CapUnit-N_ANTC'!$C$6:$C$96,MATCH($B103,'CapUnit-N_ANTC'!$A$6:$A$96,0)),"")</f>
        <v>0.16</v>
      </c>
      <c r="P103" s="684">
        <f>IFERROR(0.001*INDEX(VehicleCostData!$N$13:$T$102,MATCH($B103,VehicleCostData!$A$13:$A$102,0),MATCH(P$5,VehicleCostData!$N$12:$T$12,0)),"")</f>
        <v>4307.1676011178151</v>
      </c>
      <c r="Q103" s="684">
        <f>IFERROR(0.001*INDEX(VehicleCostData!$N$13:$T$102,MATCH($B103,VehicleCostData!$A$13:$A$102,0),MATCH(Q$5,VehicleCostData!$N$12:$T$12,0)),"")</f>
        <v>3764.1486255579034</v>
      </c>
      <c r="R103" s="684">
        <f>IFERROR(0.001*INDEX(VehicleCostData!$N$13:$T$102,MATCH($B103,VehicleCostData!$A$13:$A$102,0),MATCH(R$5,VehicleCostData!$N$12:$T$12,0)),"")</f>
        <v>3502.9069696972938</v>
      </c>
      <c r="S103" s="684">
        <f>IFERROR(0.001*INDEX(VehicleCostData!$N$13:$T$102,MATCH($B103,VehicleCostData!$A$13:$A$102,0),MATCH(S$5,VehicleCostData!$N$12:$T$12,0)),"")</f>
        <v>3305.0642892265532</v>
      </c>
      <c r="T103" s="684">
        <f>IFERROR(0.001*INDEX(VehicleCostData!$N$13:$T$102,MATCH($B103,VehicleCostData!$A$13:$A$102,0),MATCH(T$5,VehicleCostData!$N$12:$T$12,0)),"")</f>
        <v>3107.2216087558027</v>
      </c>
      <c r="U103" s="684">
        <f>IFERROR(0.001*INDEX(VehicleCostData!$N$13:$T$102,MATCH($B103,VehicleCostData!$A$13:$A$102,0),MATCH(U$5,VehicleCostData!$N$12:$T$12,0)),"")</f>
        <v>3069.953049838728</v>
      </c>
      <c r="V103" s="684">
        <f>IFERROR(0.001*INDEX(VehicleCostData!$N$13:$T$102,MATCH($B103,VehicleCostData!$A$13:$A$102,0),MATCH(V$5,VehicleCostData!$N$12:$T$12,0)),"")</f>
        <v>3032.6844909216516</v>
      </c>
      <c r="W103" s="685">
        <f>IFERROR(0.001*INDEX(VehicleCostData!$V$13:$AB$102,MATCH($B103,VehicleCostData!$A$13:$A$102,0),MATCH(W$5,VehicleCostData!$V$12:$AB$12,0)),"")</f>
        <v>116.293525230181</v>
      </c>
      <c r="X103" s="685">
        <f>IFERROR(0.001*INDEX(VehicleCostData!$V$13:$AB$102,MATCH($B103,VehicleCostData!$A$13:$A$102,0),MATCH(X$5,VehicleCostData!$V$12:$AB$12,0)),"")</f>
        <v>94.578488181826941</v>
      </c>
      <c r="Y103" s="685">
        <f>IFERROR(0.001*INDEX(VehicleCostData!$V$13:$AB$102,MATCH($B103,VehicleCostData!$A$13:$A$102,0),MATCH(Y$5,VehicleCostData!$V$12:$AB$12,0)),"")</f>
        <v>83.894983436406676</v>
      </c>
      <c r="Z103" s="685">
        <f>IFERROR(0.001*INDEX(VehicleCostData!$V$13:$AB$102,MATCH($B103,VehicleCostData!$A$13:$A$102,0),MATCH(Z$5,VehicleCostData!$V$12:$AB$12,0)),"")</f>
        <v>81.882481254884596</v>
      </c>
      <c r="AA103" s="652">
        <v>20</v>
      </c>
      <c r="AB103" s="652">
        <v>20</v>
      </c>
      <c r="AC103" s="694">
        <f t="shared" si="1"/>
        <v>2025</v>
      </c>
      <c r="AD103" s="688">
        <v>2</v>
      </c>
    </row>
    <row r="104" spans="2:30" x14ac:dyDescent="0.25">
      <c r="B104" s="385" t="str">
        <f>IF(ITEMS_Tech_N!D104="","",ITEMS_Tech_N!D104)</f>
        <v>TFHCV9HGN-N</v>
      </c>
      <c r="C104" s="232" t="str">
        <f>IF(ITEMS_Tech_N!E104="","",ITEMS_Tech_N!E104)</f>
        <v>Transport Freight - HCV9 Hydrogen-N</v>
      </c>
      <c r="D104" s="219" t="s">
        <v>804</v>
      </c>
      <c r="E104" s="219" t="s">
        <v>274</v>
      </c>
      <c r="F104" s="377">
        <f>IFERROR(INDEX('EFF-N_ANTC'!$J$6:$N$96,MATCH($B104,'EFF-N_ANTC'!$A$6:$A$96,0),MATCH(F$5,'EFF-N_ANTC'!$J$5:$N$5,0)),"")</f>
        <v>0.17779118452758197</v>
      </c>
      <c r="G104" s="377">
        <f>IFERROR(INDEX('EFF-N_ANTC'!$J$6:$N$96,MATCH($B104,'EFF-N_ANTC'!$A$6:$A$96,0),MATCH(G$5,'EFF-N_ANTC'!$J$5:$N$5,0)),"")</f>
        <v>0.18787212550139593</v>
      </c>
      <c r="H104" s="377">
        <f>IFERROR(INDEX('EFF-N_ANTC'!$J$6:$N$96,MATCH($B104,'EFF-N_ANTC'!$A$6:$A$96,0),MATCH(H$5,'EFF-N_ANTC'!$J$5:$N$5,0)),"")</f>
        <v>0.20773534846935901</v>
      </c>
      <c r="I104" s="377">
        <f>IFERROR(INDEX('EFF-N_ANTC'!$J$6:$N$96,MATCH($B104,'EFF-N_ANTC'!$A$6:$A$96,0),MATCH(I$5,'EFF-N_ANTC'!$J$5:$N$5,0)),"")</f>
        <v>0.22969865746989365</v>
      </c>
      <c r="J104" s="652">
        <v>1</v>
      </c>
      <c r="K104" s="652">
        <v>1</v>
      </c>
      <c r="L104" s="652">
        <v>1</v>
      </c>
      <c r="M104" s="652">
        <v>1</v>
      </c>
      <c r="N104" s="652">
        <v>1</v>
      </c>
      <c r="O104" s="379">
        <f>IFERROR(INDEX('CapUnit-N_ANTC'!$C$6:$C$96,MATCH($B104,'CapUnit-N_ANTC'!$A$6:$A$96,0)),"")</f>
        <v>0.16</v>
      </c>
      <c r="P104" s="684">
        <f>IFERROR(0.001*INDEX(VehicleCostData!$N$13:$T$102,MATCH($B104,VehicleCostData!$A$13:$A$102,0),MATCH(P$5,VehicleCostData!$N$12:$T$12,0)),"")</f>
        <v>4307.1676011178151</v>
      </c>
      <c r="Q104" s="684">
        <f>IFERROR(0.001*INDEX(VehicleCostData!$N$13:$T$102,MATCH($B104,VehicleCostData!$A$13:$A$102,0),MATCH(Q$5,VehicleCostData!$N$12:$T$12,0)),"")</f>
        <v>3764.1486255579034</v>
      </c>
      <c r="R104" s="684">
        <f>IFERROR(0.001*INDEX(VehicleCostData!$N$13:$T$102,MATCH($B104,VehicleCostData!$A$13:$A$102,0),MATCH(R$5,VehicleCostData!$N$12:$T$12,0)),"")</f>
        <v>3502.9069696972938</v>
      </c>
      <c r="S104" s="684">
        <f>IFERROR(0.001*INDEX(VehicleCostData!$N$13:$T$102,MATCH($B104,VehicleCostData!$A$13:$A$102,0),MATCH(S$5,VehicleCostData!$N$12:$T$12,0)),"")</f>
        <v>3305.0642892265532</v>
      </c>
      <c r="T104" s="684">
        <f>IFERROR(0.001*INDEX(VehicleCostData!$N$13:$T$102,MATCH($B104,VehicleCostData!$A$13:$A$102,0),MATCH(T$5,VehicleCostData!$N$12:$T$12,0)),"")</f>
        <v>3107.2216087558027</v>
      </c>
      <c r="U104" s="684">
        <f>IFERROR(0.001*INDEX(VehicleCostData!$N$13:$T$102,MATCH($B104,VehicleCostData!$A$13:$A$102,0),MATCH(U$5,VehicleCostData!$N$12:$T$12,0)),"")</f>
        <v>3069.953049838728</v>
      </c>
      <c r="V104" s="684">
        <f>IFERROR(0.001*INDEX(VehicleCostData!$N$13:$T$102,MATCH($B104,VehicleCostData!$A$13:$A$102,0),MATCH(V$5,VehicleCostData!$N$12:$T$12,0)),"")</f>
        <v>3032.6844909216516</v>
      </c>
      <c r="W104" s="685">
        <f>IFERROR(0.001*INDEX(VehicleCostData!$V$13:$AB$102,MATCH($B104,VehicleCostData!$A$13:$A$102,0),MATCH(W$5,VehicleCostData!$V$12:$AB$12,0)),"")</f>
        <v>116.293525230181</v>
      </c>
      <c r="X104" s="685">
        <f>IFERROR(0.001*INDEX(VehicleCostData!$V$13:$AB$102,MATCH($B104,VehicleCostData!$A$13:$A$102,0),MATCH(X$5,VehicleCostData!$V$12:$AB$12,0)),"")</f>
        <v>94.578488181826941</v>
      </c>
      <c r="Y104" s="685">
        <f>IFERROR(0.001*INDEX(VehicleCostData!$V$13:$AB$102,MATCH($B104,VehicleCostData!$A$13:$A$102,0),MATCH(Y$5,VehicleCostData!$V$12:$AB$12,0)),"")</f>
        <v>83.894983436406676</v>
      </c>
      <c r="Z104" s="685">
        <f>IFERROR(0.001*INDEX(VehicleCostData!$V$13:$AB$102,MATCH($B104,VehicleCostData!$A$13:$A$102,0),MATCH(Z$5,VehicleCostData!$V$12:$AB$12,0)),"")</f>
        <v>81.882481254884596</v>
      </c>
      <c r="AA104" s="652">
        <v>20</v>
      </c>
      <c r="AB104" s="652">
        <v>20</v>
      </c>
      <c r="AC104" s="694">
        <f t="shared" si="1"/>
        <v>2025</v>
      </c>
      <c r="AD104" s="688">
        <v>2</v>
      </c>
    </row>
    <row r="105" spans="2:30" x14ac:dyDescent="0.25">
      <c r="B105" s="385" t="str">
        <f>IF(ITEMS_Tech_N!D105="","",ITEMS_Tech_N!D105)</f>
        <v>*</v>
      </c>
      <c r="C105" s="232" t="str">
        <f>IF(ITEMS_Tech_N!E105="","",ITEMS_Tech_N!E105)</f>
        <v/>
      </c>
      <c r="D105" s="219"/>
      <c r="E105" s="219"/>
      <c r="F105" s="377">
        <f>IFERROR(INDEX('EFF-N_ANTC'!$J$6:$N$96,MATCH($B105,'EFF-N_ANTC'!$A$6:$A$96,0),MATCH(F$5,'EFF-N_ANTC'!$J$5:$N$5,0)),"")</f>
        <v>0.23658855771912971</v>
      </c>
      <c r="G105" s="377">
        <f>IFERROR(INDEX('EFF-N_ANTC'!$J$6:$N$96,MATCH($B105,'EFF-N_ANTC'!$A$6:$A$96,0),MATCH(G$5,'EFF-N_ANTC'!$J$5:$N$5,0)),"")</f>
        <v>0.25508715046378805</v>
      </c>
      <c r="H105" s="377">
        <f>IFERROR(INDEX('EFF-N_ANTC'!$J$6:$N$96,MATCH($B105,'EFF-N_ANTC'!$A$6:$A$96,0),MATCH(H$5,'EFF-N_ANTC'!$J$5:$N$5,0)),"")</f>
        <v>0.28205684025891897</v>
      </c>
      <c r="I105" s="377">
        <f>IFERROR(INDEX('EFF-N_ANTC'!$J$6:$N$96,MATCH($B105,'EFF-N_ANTC'!$A$6:$A$96,0),MATCH(I$5,'EFF-N_ANTC'!$J$5:$N$5,0)),"")</f>
        <v>0.31187796402994067</v>
      </c>
      <c r="J105" s="379"/>
      <c r="K105" s="379"/>
      <c r="L105" s="379"/>
      <c r="M105" s="379"/>
      <c r="N105" s="379"/>
      <c r="O105" s="379">
        <f>IFERROR(INDEX('CapUnit-N_ANTC'!$C$6:$C$96,MATCH($B105,'CapUnit-N_ANTC'!$A$6:$A$96,0)),"")</f>
        <v>2.4E-2</v>
      </c>
      <c r="P105" s="684">
        <f>IFERROR(0.001*INDEX(VehicleCostData!$N$13:$T$102,MATCH($B105,VehicleCostData!$A$13:$A$102,0),MATCH(P$5,VehicleCostData!$N$12:$T$12,0)),"")</f>
        <v>531.43336858461009</v>
      </c>
      <c r="Q105" s="684">
        <f>IFERROR(0.001*INDEX(VehicleCostData!$N$13:$T$102,MATCH($B105,VehicleCostData!$A$13:$A$102,0),MATCH(Q$5,VehicleCostData!$N$12:$T$12,0)),"")</f>
        <v>540.08959568363241</v>
      </c>
      <c r="R105" s="684">
        <f>IFERROR(0.001*INDEX(VehicleCostData!$N$13:$T$102,MATCH($B105,VehicleCostData!$A$13:$A$102,0),MATCH(R$5,VehicleCostData!$N$12:$T$12,0)),"")</f>
        <v>548.74582278265507</v>
      </c>
      <c r="S105" s="684">
        <f>IFERROR(0.001*INDEX(VehicleCostData!$N$13:$T$102,MATCH($B105,VehicleCostData!$A$13:$A$102,0),MATCH(S$5,VehicleCostData!$N$12:$T$12,0)),"")</f>
        <v>554.77116992257743</v>
      </c>
      <c r="T105" s="684">
        <f>IFERROR(0.001*INDEX(VehicleCostData!$N$13:$T$102,MATCH($B105,VehicleCostData!$A$13:$A$102,0),MATCH(T$5,VehicleCostData!$N$12:$T$12,0)),"")</f>
        <v>560.7965170624999</v>
      </c>
      <c r="U105" s="684">
        <f>IFERROR(0.001*INDEX(VehicleCostData!$N$13:$T$102,MATCH($B105,VehicleCostData!$A$13:$A$102,0),MATCH(U$5,VehicleCostData!$N$12:$T$12,0)),"")</f>
        <v>564.26965287362793</v>
      </c>
      <c r="V105" s="684">
        <f>IFERROR(0.001*INDEX(VehicleCostData!$N$13:$T$102,MATCH($B105,VehicleCostData!$A$13:$A$102,0),MATCH(V$5,VehicleCostData!$N$12:$T$12,0)),"")</f>
        <v>567.74278868475642</v>
      </c>
      <c r="W105" s="685">
        <f>IFERROR(0.001*INDEX(VehicleCostData!$V$13:$AB$102,MATCH($B105,VehicleCostData!$A$13:$A$102,0),MATCH(W$5,VehicleCostData!$V$12:$AB$12,0)),"")</f>
        <v>14.348700951784471</v>
      </c>
      <c r="X105" s="685">
        <f>IFERROR(0.001*INDEX(VehicleCostData!$V$13:$AB$102,MATCH($B105,VehicleCostData!$A$13:$A$102,0),MATCH(X$5,VehicleCostData!$V$12:$AB$12,0)),"")</f>
        <v>14.816137215131684</v>
      </c>
      <c r="Y105" s="685">
        <f>IFERROR(0.001*INDEX(VehicleCostData!$V$13:$AB$102,MATCH($B105,VehicleCostData!$A$13:$A$102,0),MATCH(Y$5,VehicleCostData!$V$12:$AB$12,0)),"")</f>
        <v>15.141505960687496</v>
      </c>
      <c r="Z105" s="685">
        <f>IFERROR(0.001*INDEX(VehicleCostData!$V$13:$AB$102,MATCH($B105,VehicleCostData!$A$13:$A$102,0),MATCH(Z$5,VehicleCostData!$V$12:$AB$12,0)),"")</f>
        <v>15.329055294488422</v>
      </c>
      <c r="AA105" s="686" t="s">
        <v>504</v>
      </c>
      <c r="AB105" s="686" t="s">
        <v>504</v>
      </c>
      <c r="AC105" s="694" t="str">
        <f t="shared" si="1"/>
        <v/>
      </c>
      <c r="AD105" s="689"/>
    </row>
    <row r="106" spans="2:30" x14ac:dyDescent="0.25">
      <c r="B106" s="385" t="str">
        <f>IF(ITEMS_Tech_N!D106="","",ITEMS_Tech_N!D106)</f>
        <v>*</v>
      </c>
      <c r="C106" s="232" t="str">
        <f>IF(ITEMS_Tech_N!E106="","",ITEMS_Tech_N!E106)</f>
        <v>Freight Rail</v>
      </c>
      <c r="D106" s="219"/>
      <c r="E106" s="219"/>
      <c r="F106" s="377">
        <f>IFERROR(INDEX('EFF-N_ANTC'!$J$6:$N$96,MATCH($B106,'EFF-N_ANTC'!$A$6:$A$96,0),MATCH(F$5,'EFF-N_ANTC'!$J$5:$N$5,0)),"")</f>
        <v>0.23658855771912971</v>
      </c>
      <c r="G106" s="377">
        <f>IFERROR(INDEX('EFF-N_ANTC'!$J$6:$N$96,MATCH($B106,'EFF-N_ANTC'!$A$6:$A$96,0),MATCH(G$5,'EFF-N_ANTC'!$J$5:$N$5,0)),"")</f>
        <v>0.25508715046378805</v>
      </c>
      <c r="H106" s="377">
        <f>IFERROR(INDEX('EFF-N_ANTC'!$J$6:$N$96,MATCH($B106,'EFF-N_ANTC'!$A$6:$A$96,0),MATCH(H$5,'EFF-N_ANTC'!$J$5:$N$5,0)),"")</f>
        <v>0.28205684025891897</v>
      </c>
      <c r="I106" s="377">
        <f>IFERROR(INDEX('EFF-N_ANTC'!$J$6:$N$96,MATCH($B106,'EFF-N_ANTC'!$A$6:$A$96,0),MATCH(I$5,'EFF-N_ANTC'!$J$5:$N$5,0)),"")</f>
        <v>0.31187796402994067</v>
      </c>
      <c r="J106" s="379"/>
      <c r="K106" s="379"/>
      <c r="L106" s="379"/>
      <c r="M106" s="379"/>
      <c r="N106" s="379"/>
      <c r="O106" s="379">
        <f>IFERROR(INDEX('CapUnit-N_ANTC'!$C$6:$C$96,MATCH($B106,'CapUnit-N_ANTC'!$A$6:$A$96,0)),"")</f>
        <v>2.4E-2</v>
      </c>
      <c r="P106" s="684" t="s">
        <v>504</v>
      </c>
      <c r="Q106" s="684" t="s">
        <v>504</v>
      </c>
      <c r="R106" s="684" t="s">
        <v>504</v>
      </c>
      <c r="S106" s="684" t="s">
        <v>504</v>
      </c>
      <c r="T106" s="684" t="s">
        <v>504</v>
      </c>
      <c r="U106" s="684" t="s">
        <v>504</v>
      </c>
      <c r="V106" s="684" t="s">
        <v>504</v>
      </c>
      <c r="W106" s="685"/>
      <c r="X106" s="685"/>
      <c r="Y106" s="685"/>
      <c r="Z106" s="685"/>
      <c r="AA106" s="686" t="s">
        <v>504</v>
      </c>
      <c r="AB106" s="686" t="s">
        <v>504</v>
      </c>
      <c r="AC106" s="694" t="str">
        <f t="shared" si="1"/>
        <v/>
      </c>
      <c r="AD106" s="689"/>
    </row>
    <row r="107" spans="2:30" x14ac:dyDescent="0.25">
      <c r="B107" s="385" t="str">
        <f>IF(ITEMS_Tech_N!D107="","",ITEMS_Tech_N!D107)</f>
        <v>*</v>
      </c>
      <c r="C107" s="232" t="str">
        <f>IF(ITEMS_Tech_N!E107="","",ITEMS_Tech_N!E107)</f>
        <v>Transport Freight - Rail Corridor Gas-N</v>
      </c>
      <c r="D107" s="219" t="s">
        <v>563</v>
      </c>
      <c r="E107" s="219" t="s">
        <v>441</v>
      </c>
      <c r="F107" s="377">
        <f>IFERROR(INDEX('EFF-N_ANTC'!$J$6:$N$96,MATCH($B107,'EFF-N_ANTC'!$A$6:$A$96,0),MATCH(F$5,'EFF-N_ANTC'!$J$5:$N$5,0)),"")</f>
        <v>0.23658855771912971</v>
      </c>
      <c r="G107" s="377">
        <f>IFERROR(INDEX('EFF-N_ANTC'!$J$6:$N$96,MATCH($B107,'EFF-N_ANTC'!$A$6:$A$96,0),MATCH(G$5,'EFF-N_ANTC'!$J$5:$N$5,0)),"")</f>
        <v>0.25508715046378805</v>
      </c>
      <c r="H107" s="377">
        <f>IFERROR(INDEX('EFF-N_ANTC'!$J$6:$N$96,MATCH($B107,'EFF-N_ANTC'!$A$6:$A$96,0),MATCH(H$5,'EFF-N_ANTC'!$J$5:$N$5,0)),"")</f>
        <v>0.28205684025891897</v>
      </c>
      <c r="I107" s="377">
        <f>IFERROR(INDEX('EFF-N_ANTC'!$J$6:$N$96,MATCH($B107,'EFF-N_ANTC'!$A$6:$A$96,0),MATCH(I$5,'EFF-N_ANTC'!$J$5:$N$5,0)),"")</f>
        <v>0.31187796402994067</v>
      </c>
      <c r="J107" s="652">
        <v>1</v>
      </c>
      <c r="K107" s="652">
        <v>1</v>
      </c>
      <c r="L107" s="652">
        <v>1</v>
      </c>
      <c r="M107" s="652">
        <v>1</v>
      </c>
      <c r="N107" s="652">
        <v>1</v>
      </c>
      <c r="O107" s="379">
        <f>IFERROR(INDEX('CapUnit-N_ANTC'!$C$6:$C$96,MATCH($B107,'CapUnit-N_ANTC'!$A$6:$A$96,0)),"")</f>
        <v>2.4E-2</v>
      </c>
      <c r="P107" s="684">
        <v>1</v>
      </c>
      <c r="Q107" s="684">
        <v>1</v>
      </c>
      <c r="R107" s="684">
        <v>1</v>
      </c>
      <c r="S107" s="684">
        <v>1</v>
      </c>
      <c r="T107" s="684">
        <v>1</v>
      </c>
      <c r="U107" s="684">
        <v>1</v>
      </c>
      <c r="V107" s="684">
        <v>1</v>
      </c>
      <c r="W107" s="685"/>
      <c r="X107" s="685"/>
      <c r="Y107" s="685"/>
      <c r="Z107" s="685"/>
      <c r="AA107" s="652">
        <v>50</v>
      </c>
      <c r="AB107" s="652">
        <v>50</v>
      </c>
      <c r="AC107" s="694">
        <f t="shared" si="1"/>
        <v>2080</v>
      </c>
      <c r="AD107" s="688">
        <v>3</v>
      </c>
    </row>
    <row r="108" spans="2:30" x14ac:dyDescent="0.25">
      <c r="B108" s="385" t="str">
        <f>IF(ITEMS_Tech_N!D108="","",ITEMS_Tech_N!D108)</f>
        <v>TFRCOELC-N</v>
      </c>
      <c r="C108" s="232" t="str">
        <f>IF(ITEMS_Tech_N!E108="","",ITEMS_Tech_N!E108)</f>
        <v>Transport Freight - Rail Corridor Electricity-N</v>
      </c>
      <c r="D108" s="219" t="s">
        <v>412</v>
      </c>
      <c r="E108" s="219" t="s">
        <v>441</v>
      </c>
      <c r="F108" s="377">
        <f>IFERROR(INDEX('EFF-N_ANTC'!$J$6:$N$96,MATCH($B108,'EFF-N_ANTC'!$A$6:$A$96,0),MATCH(F$5,'EFF-N_ANTC'!$J$5:$N$5,0)),"")</f>
        <v>4.0285422116338081</v>
      </c>
      <c r="G108" s="377">
        <f>IFERROR(INDEX('EFF-N_ANTC'!$J$6:$N$96,MATCH($B108,'EFF-N_ANTC'!$A$6:$A$96,0),MATCH(G$5,'EFF-N_ANTC'!$J$5:$N$5,0)),"")</f>
        <v>4.0285422116338081</v>
      </c>
      <c r="H108" s="377">
        <f>IFERROR(INDEX('EFF-N_ANTC'!$J$6:$N$96,MATCH($B108,'EFF-N_ANTC'!$A$6:$A$96,0),MATCH(H$5,'EFF-N_ANTC'!$J$5:$N$5,0)),"")</f>
        <v>4.0285422116338081</v>
      </c>
      <c r="I108" s="377">
        <f>IFERROR(INDEX('EFF-N_ANTC'!$J$6:$N$96,MATCH($B108,'EFF-N_ANTC'!$A$6:$A$96,0),MATCH(I$5,'EFF-N_ANTC'!$J$5:$N$5,0)),"")</f>
        <v>4.0285422116338081</v>
      </c>
      <c r="J108" s="652">
        <v>1</v>
      </c>
      <c r="K108" s="652">
        <v>1</v>
      </c>
      <c r="L108" s="652">
        <v>1</v>
      </c>
      <c r="M108" s="652">
        <v>1</v>
      </c>
      <c r="N108" s="652">
        <v>1</v>
      </c>
      <c r="O108" s="379">
        <f>IFERROR(INDEX('CapUnit-N_ANTC'!$C$6:$C$96,MATCH($B108,'CapUnit-N_ANTC'!$A$6:$A$96,0)),"")</f>
        <v>1</v>
      </c>
      <c r="P108" s="684">
        <v>10</v>
      </c>
      <c r="Q108" s="684">
        <v>10</v>
      </c>
      <c r="R108" s="684">
        <v>10</v>
      </c>
      <c r="S108" s="684">
        <v>10</v>
      </c>
      <c r="T108" s="684">
        <v>10</v>
      </c>
      <c r="U108" s="684">
        <v>10</v>
      </c>
      <c r="V108" s="684">
        <v>10</v>
      </c>
      <c r="W108" s="685"/>
      <c r="X108" s="685"/>
      <c r="Y108" s="685"/>
      <c r="Z108" s="685"/>
      <c r="AA108" s="652">
        <v>50</v>
      </c>
      <c r="AB108" s="652">
        <v>50</v>
      </c>
      <c r="AC108" s="694">
        <f t="shared" si="1"/>
        <v>2018</v>
      </c>
      <c r="AD108" s="688">
        <v>1</v>
      </c>
    </row>
    <row r="109" spans="2:30" x14ac:dyDescent="0.25">
      <c r="B109" s="385" t="str">
        <f>IF(ITEMS_Tech_N!D109="","",ITEMS_Tech_N!D109)</f>
        <v>TFROTELC-N</v>
      </c>
      <c r="C109" s="232" t="str">
        <f>IF(ITEMS_Tech_N!E109="","",ITEMS_Tech_N!E109)</f>
        <v>Transport Freight - Rail Other Electricity-N</v>
      </c>
      <c r="D109" s="219" t="s">
        <v>412</v>
      </c>
      <c r="E109" s="219" t="s">
        <v>443</v>
      </c>
      <c r="F109" s="377">
        <f>IFERROR(INDEX('EFF-N_ANTC'!$J$6:$N$96,MATCH($B109,'EFF-N_ANTC'!$A$6:$A$96,0),MATCH(F$5,'EFF-N_ANTC'!$J$5:$N$5,0)),"")</f>
        <v>4.0285422116338081</v>
      </c>
      <c r="G109" s="377">
        <f>IFERROR(INDEX('EFF-N_ANTC'!$J$6:$N$96,MATCH($B109,'EFF-N_ANTC'!$A$6:$A$96,0),MATCH(G$5,'EFF-N_ANTC'!$J$5:$N$5,0)),"")</f>
        <v>4.0285422116338081</v>
      </c>
      <c r="H109" s="377">
        <f>IFERROR(INDEX('EFF-N_ANTC'!$J$6:$N$96,MATCH($B109,'EFF-N_ANTC'!$A$6:$A$96,0),MATCH(H$5,'EFF-N_ANTC'!$J$5:$N$5,0)),"")</f>
        <v>4.0285422116338081</v>
      </c>
      <c r="I109" s="377">
        <f>IFERROR(INDEX('EFF-N_ANTC'!$J$6:$N$96,MATCH($B109,'EFF-N_ANTC'!$A$6:$A$96,0),MATCH(I$5,'EFF-N_ANTC'!$J$5:$N$5,0)),"")</f>
        <v>4.0285422116338081</v>
      </c>
      <c r="J109" s="652">
        <v>1</v>
      </c>
      <c r="K109" s="652">
        <v>1</v>
      </c>
      <c r="L109" s="652">
        <v>1</v>
      </c>
      <c r="M109" s="652">
        <v>1</v>
      </c>
      <c r="N109" s="652">
        <v>1</v>
      </c>
      <c r="O109" s="379">
        <f>IFERROR(INDEX('CapUnit-N_ANTC'!$C$6:$C$96,MATCH($B109,'CapUnit-N_ANTC'!$A$6:$A$96,0)),"")</f>
        <v>1</v>
      </c>
      <c r="P109" s="684">
        <v>10</v>
      </c>
      <c r="Q109" s="684">
        <v>10</v>
      </c>
      <c r="R109" s="684">
        <v>10</v>
      </c>
      <c r="S109" s="684">
        <v>10</v>
      </c>
      <c r="T109" s="684">
        <v>10</v>
      </c>
      <c r="U109" s="684">
        <v>10</v>
      </c>
      <c r="V109" s="684">
        <v>10</v>
      </c>
      <c r="W109" s="685"/>
      <c r="X109" s="685"/>
      <c r="Y109" s="685"/>
      <c r="Z109" s="685"/>
      <c r="AA109" s="652">
        <v>50</v>
      </c>
      <c r="AB109" s="652">
        <v>50</v>
      </c>
      <c r="AC109" s="694">
        <f t="shared" si="1"/>
        <v>2018</v>
      </c>
      <c r="AD109" s="688">
        <v>1</v>
      </c>
    </row>
    <row r="110" spans="2:30" x14ac:dyDescent="0.25">
      <c r="B110" s="385" t="str">
        <f>IF(ITEMS_Tech_N!D110="","",ITEMS_Tech_N!D110)</f>
        <v>TFREXELC-N</v>
      </c>
      <c r="C110" s="232" t="str">
        <f>IF(ITEMS_Tech_N!E110="","",ITEMS_Tech_N!E110)</f>
        <v>Transport Freight - Rail Export (bulk mining) Electricity-N</v>
      </c>
      <c r="D110" s="219" t="s">
        <v>412</v>
      </c>
      <c r="E110" s="219" t="s">
        <v>445</v>
      </c>
      <c r="F110" s="377">
        <f>IFERROR(INDEX('EFF-N_ANTC'!$J$6:$N$96,MATCH($B110,'EFF-N_ANTC'!$A$6:$A$96,0),MATCH(F$5,'EFF-N_ANTC'!$J$5:$N$5,0)),"")</f>
        <v>4.0285422116338081</v>
      </c>
      <c r="G110" s="377">
        <f>IFERROR(INDEX('EFF-N_ANTC'!$J$6:$N$96,MATCH($B110,'EFF-N_ANTC'!$A$6:$A$96,0),MATCH(G$5,'EFF-N_ANTC'!$J$5:$N$5,0)),"")</f>
        <v>4.0285422116338081</v>
      </c>
      <c r="H110" s="377">
        <f>IFERROR(INDEX('EFF-N_ANTC'!$J$6:$N$96,MATCH($B110,'EFF-N_ANTC'!$A$6:$A$96,0),MATCH(H$5,'EFF-N_ANTC'!$J$5:$N$5,0)),"")</f>
        <v>4.0285422116338081</v>
      </c>
      <c r="I110" s="377">
        <f>IFERROR(INDEX('EFF-N_ANTC'!$J$6:$N$96,MATCH($B110,'EFF-N_ANTC'!$A$6:$A$96,0),MATCH(I$5,'EFF-N_ANTC'!$J$5:$N$5,0)),"")</f>
        <v>4.0285422116338081</v>
      </c>
      <c r="J110" s="652">
        <v>1</v>
      </c>
      <c r="K110" s="652">
        <v>1</v>
      </c>
      <c r="L110" s="652">
        <v>1</v>
      </c>
      <c r="M110" s="652">
        <v>1</v>
      </c>
      <c r="N110" s="652">
        <v>1</v>
      </c>
      <c r="O110" s="379">
        <f>IFERROR(INDEX('CapUnit-N_ANTC'!$C$6:$C$96,MATCH($B110,'CapUnit-N_ANTC'!$A$6:$A$96,0)),"")</f>
        <v>1</v>
      </c>
      <c r="P110" s="684">
        <v>10</v>
      </c>
      <c r="Q110" s="684">
        <v>10</v>
      </c>
      <c r="R110" s="684">
        <v>10</v>
      </c>
      <c r="S110" s="684">
        <v>10</v>
      </c>
      <c r="T110" s="684">
        <v>10</v>
      </c>
      <c r="U110" s="684">
        <v>10</v>
      </c>
      <c r="V110" s="684">
        <v>10</v>
      </c>
      <c r="W110" s="685"/>
      <c r="X110" s="685"/>
      <c r="Y110" s="685"/>
      <c r="Z110" s="685"/>
      <c r="AA110" s="652">
        <v>50</v>
      </c>
      <c r="AB110" s="652">
        <v>50</v>
      </c>
      <c r="AC110" s="694">
        <f t="shared" si="1"/>
        <v>2018</v>
      </c>
      <c r="AD110" s="688">
        <v>1</v>
      </c>
    </row>
    <row r="111" spans="2:30" x14ac:dyDescent="0.25">
      <c r="B111" s="385" t="str">
        <f>IF(ITEMS_Tech_N!D111="","",ITEMS_Tech_N!D111)</f>
        <v>*</v>
      </c>
      <c r="C111" s="232" t="str">
        <f>IF(ITEMS_Tech_N!E111="","",ITEMS_Tech_N!E111)</f>
        <v/>
      </c>
      <c r="D111" s="219"/>
      <c r="E111" s="219"/>
      <c r="F111" s="377">
        <f>IFERROR(INDEX('EFF-N_ANTC'!$J$6:$N$96,MATCH($B111,'EFF-N_ANTC'!$A$6:$A$96,0),MATCH(F$5,'EFF-N_ANTC'!$J$5:$N$5,0)),"")</f>
        <v>0.23658855771912971</v>
      </c>
      <c r="G111" s="377">
        <f>IFERROR(INDEX('EFF-N_ANTC'!$J$6:$N$96,MATCH($B111,'EFF-N_ANTC'!$A$6:$A$96,0),MATCH(G$5,'EFF-N_ANTC'!$J$5:$N$5,0)),"")</f>
        <v>0.25508715046378805</v>
      </c>
      <c r="H111" s="377">
        <f>IFERROR(INDEX('EFF-N_ANTC'!$J$6:$N$96,MATCH($B111,'EFF-N_ANTC'!$A$6:$A$96,0),MATCH(H$5,'EFF-N_ANTC'!$J$5:$N$5,0)),"")</f>
        <v>0.28205684025891897</v>
      </c>
      <c r="I111" s="377">
        <f>IFERROR(INDEX('EFF-N_ANTC'!$J$6:$N$96,MATCH($B111,'EFF-N_ANTC'!$A$6:$A$96,0),MATCH(I$5,'EFF-N_ANTC'!$J$5:$N$5,0)),"")</f>
        <v>0.31187796402994067</v>
      </c>
      <c r="J111" s="379"/>
      <c r="K111" s="379"/>
      <c r="L111" s="379"/>
      <c r="M111" s="379"/>
      <c r="N111" s="379"/>
      <c r="O111" s="379">
        <f>IFERROR(INDEX('CapUnit-N_ANTC'!$C$6:$C$96,MATCH($B111,'CapUnit-N_ANTC'!$A$6:$A$96,0)),"")</f>
        <v>2.4E-2</v>
      </c>
      <c r="P111" s="684" t="s">
        <v>504</v>
      </c>
      <c r="Q111" s="684" t="s">
        <v>504</v>
      </c>
      <c r="R111" s="684" t="s">
        <v>504</v>
      </c>
      <c r="S111" s="684" t="s">
        <v>504</v>
      </c>
      <c r="T111" s="684" t="s">
        <v>504</v>
      </c>
      <c r="U111" s="684" t="s">
        <v>504</v>
      </c>
      <c r="V111" s="684" t="s">
        <v>504</v>
      </c>
      <c r="W111" s="685"/>
      <c r="X111" s="685"/>
      <c r="Y111" s="685"/>
      <c r="Z111" s="685"/>
      <c r="AA111" s="686" t="s">
        <v>504</v>
      </c>
      <c r="AB111" s="686" t="s">
        <v>504</v>
      </c>
      <c r="AC111" s="694" t="str">
        <f t="shared" si="1"/>
        <v/>
      </c>
      <c r="AD111" s="689"/>
    </row>
    <row r="112" spans="2:30" x14ac:dyDescent="0.25">
      <c r="B112" s="385" t="str">
        <f>IF(ITEMS_Tech_N!D112="","",ITEMS_Tech_N!D112)</f>
        <v>*</v>
      </c>
      <c r="C112" s="232" t="str">
        <f>IF(ITEMS_Tech_N!E112="","",ITEMS_Tech_N!E112)</f>
        <v/>
      </c>
      <c r="D112" s="219"/>
      <c r="E112" s="219"/>
      <c r="F112" s="377">
        <f>IFERROR(INDEX('EFF-N_ANTC'!$J$6:$N$96,MATCH($B112,'EFF-N_ANTC'!$A$6:$A$96,0),MATCH(F$5,'EFF-N_ANTC'!$J$5:$N$5,0)),"")</f>
        <v>0.23658855771912971</v>
      </c>
      <c r="G112" s="377">
        <f>IFERROR(INDEX('EFF-N_ANTC'!$J$6:$N$96,MATCH($B112,'EFF-N_ANTC'!$A$6:$A$96,0),MATCH(G$5,'EFF-N_ANTC'!$J$5:$N$5,0)),"")</f>
        <v>0.25508715046378805</v>
      </c>
      <c r="H112" s="377">
        <f>IFERROR(INDEX('EFF-N_ANTC'!$J$6:$N$96,MATCH($B112,'EFF-N_ANTC'!$A$6:$A$96,0),MATCH(H$5,'EFF-N_ANTC'!$J$5:$N$5,0)),"")</f>
        <v>0.28205684025891897</v>
      </c>
      <c r="I112" s="377">
        <f>IFERROR(INDEX('EFF-N_ANTC'!$J$6:$N$96,MATCH($B112,'EFF-N_ANTC'!$A$6:$A$96,0),MATCH(I$5,'EFF-N_ANTC'!$J$5:$N$5,0)),"")</f>
        <v>0.31187796402994067</v>
      </c>
      <c r="J112" s="379"/>
      <c r="K112" s="379"/>
      <c r="L112" s="379"/>
      <c r="M112" s="379"/>
      <c r="N112" s="379"/>
      <c r="O112" s="379">
        <f>IFERROR(INDEX('CapUnit-N_ANTC'!$C$6:$C$96,MATCH($B112,'CapUnit-N_ANTC'!$A$6:$A$96,0)),"")</f>
        <v>2.4E-2</v>
      </c>
      <c r="P112" s="684" t="s">
        <v>504</v>
      </c>
      <c r="Q112" s="684" t="s">
        <v>504</v>
      </c>
      <c r="R112" s="684" t="s">
        <v>504</v>
      </c>
      <c r="S112" s="684" t="s">
        <v>504</v>
      </c>
      <c r="T112" s="684" t="s">
        <v>504</v>
      </c>
      <c r="U112" s="684" t="s">
        <v>504</v>
      </c>
      <c r="V112" s="684" t="s">
        <v>504</v>
      </c>
      <c r="W112" s="685"/>
      <c r="X112" s="685"/>
      <c r="Y112" s="685"/>
      <c r="Z112" s="685"/>
      <c r="AA112" s="686" t="s">
        <v>504</v>
      </c>
      <c r="AB112" s="686" t="s">
        <v>504</v>
      </c>
      <c r="AC112" s="694" t="str">
        <f t="shared" si="1"/>
        <v/>
      </c>
      <c r="AD112" s="689"/>
    </row>
    <row r="113" spans="2:30" x14ac:dyDescent="0.25">
      <c r="B113" s="385" t="str">
        <f>IF(ITEMS_Tech_N!D113="","",ITEMS_Tech_N!D113)</f>
        <v>*</v>
      </c>
      <c r="C113" s="232" t="str">
        <f>IF(ITEMS_Tech_N!E113="","",ITEMS_Tech_N!E113)</f>
        <v/>
      </c>
      <c r="D113" s="219"/>
      <c r="E113" s="219"/>
      <c r="F113" s="377">
        <f>IFERROR(INDEX('EFF-N_ANTC'!$J$6:$N$96,MATCH($B113,'EFF-N_ANTC'!$A$6:$A$96,0),MATCH(F$5,'EFF-N_ANTC'!$J$5:$N$5,0)),"")</f>
        <v>0.23658855771912971</v>
      </c>
      <c r="G113" s="377">
        <f>IFERROR(INDEX('EFF-N_ANTC'!$J$6:$N$96,MATCH($B113,'EFF-N_ANTC'!$A$6:$A$96,0),MATCH(G$5,'EFF-N_ANTC'!$J$5:$N$5,0)),"")</f>
        <v>0.25508715046378805</v>
      </c>
      <c r="H113" s="377">
        <f>IFERROR(INDEX('EFF-N_ANTC'!$J$6:$N$96,MATCH($B113,'EFF-N_ANTC'!$A$6:$A$96,0),MATCH(H$5,'EFF-N_ANTC'!$J$5:$N$5,0)),"")</f>
        <v>0.28205684025891897</v>
      </c>
      <c r="I113" s="377">
        <f>IFERROR(INDEX('EFF-N_ANTC'!$J$6:$N$96,MATCH($B113,'EFF-N_ANTC'!$A$6:$A$96,0),MATCH(I$5,'EFF-N_ANTC'!$J$5:$N$5,0)),"")</f>
        <v>0.31187796402994067</v>
      </c>
      <c r="J113" s="379"/>
      <c r="K113" s="379"/>
      <c r="L113" s="379"/>
      <c r="M113" s="379"/>
      <c r="N113" s="379"/>
      <c r="O113" s="379">
        <f>IFERROR(INDEX('CapUnit-N_ANTC'!$C$6:$C$96,MATCH($B113,'CapUnit-N_ANTC'!$A$6:$A$96,0)),"")</f>
        <v>2.4E-2</v>
      </c>
      <c r="P113" s="684" t="s">
        <v>504</v>
      </c>
      <c r="Q113" s="684" t="s">
        <v>504</v>
      </c>
      <c r="R113" s="684" t="s">
        <v>504</v>
      </c>
      <c r="S113" s="684" t="s">
        <v>504</v>
      </c>
      <c r="T113" s="684" t="s">
        <v>504</v>
      </c>
      <c r="U113" s="684" t="s">
        <v>504</v>
      </c>
      <c r="V113" s="684" t="s">
        <v>504</v>
      </c>
      <c r="W113" s="685"/>
      <c r="X113" s="685"/>
      <c r="Y113" s="685"/>
      <c r="Z113" s="685"/>
      <c r="AA113" s="686" t="s">
        <v>504</v>
      </c>
      <c r="AB113" s="686" t="s">
        <v>504</v>
      </c>
      <c r="AC113" s="694" t="str">
        <f t="shared" si="1"/>
        <v/>
      </c>
      <c r="AD113" s="689"/>
    </row>
    <row r="114" spans="2:30" x14ac:dyDescent="0.25">
      <c r="B114" s="385" t="str">
        <f>IF(ITEMS_Tech_N!D114="","",ITEMS_Tech_N!D114)</f>
        <v>*</v>
      </c>
      <c r="C114" s="232" t="str">
        <f>IF(ITEMS_Tech_N!E114="","",ITEMS_Tech_N!E114)</f>
        <v/>
      </c>
      <c r="D114" s="219"/>
      <c r="E114" s="219"/>
      <c r="F114" s="377">
        <f>IFERROR(INDEX('EFF-N_ANTC'!$J$6:$N$96,MATCH($B114,'EFF-N_ANTC'!$A$6:$A$96,0),MATCH(F$5,'EFF-N_ANTC'!$J$5:$N$5,0)),"")</f>
        <v>0.23658855771912971</v>
      </c>
      <c r="G114" s="377">
        <f>IFERROR(INDEX('EFF-N_ANTC'!$J$6:$N$96,MATCH($B114,'EFF-N_ANTC'!$A$6:$A$96,0),MATCH(G$5,'EFF-N_ANTC'!$J$5:$N$5,0)),"")</f>
        <v>0.25508715046378805</v>
      </c>
      <c r="H114" s="377">
        <f>IFERROR(INDEX('EFF-N_ANTC'!$J$6:$N$96,MATCH($B114,'EFF-N_ANTC'!$A$6:$A$96,0),MATCH(H$5,'EFF-N_ANTC'!$J$5:$N$5,0)),"")</f>
        <v>0.28205684025891897</v>
      </c>
      <c r="I114" s="377">
        <f>IFERROR(INDEX('EFF-N_ANTC'!$J$6:$N$96,MATCH($B114,'EFF-N_ANTC'!$A$6:$A$96,0),MATCH(I$5,'EFF-N_ANTC'!$J$5:$N$5,0)),"")</f>
        <v>0.31187796402994067</v>
      </c>
      <c r="J114" s="379"/>
      <c r="K114" s="379"/>
      <c r="L114" s="379"/>
      <c r="M114" s="379"/>
      <c r="N114" s="379"/>
      <c r="O114" s="379">
        <f>IFERROR(INDEX('CapUnit-N_ANTC'!$C$6:$C$96,MATCH($B114,'CapUnit-N_ANTC'!$A$6:$A$96,0)),"")</f>
        <v>2.4E-2</v>
      </c>
      <c r="P114" s="684" t="s">
        <v>504</v>
      </c>
      <c r="Q114" s="684" t="s">
        <v>504</v>
      </c>
      <c r="R114" s="684" t="s">
        <v>504</v>
      </c>
      <c r="S114" s="684" t="s">
        <v>504</v>
      </c>
      <c r="T114" s="684" t="s">
        <v>504</v>
      </c>
      <c r="U114" s="684" t="s">
        <v>504</v>
      </c>
      <c r="V114" s="684" t="s">
        <v>504</v>
      </c>
      <c r="W114" s="685"/>
      <c r="X114" s="685"/>
      <c r="Y114" s="685"/>
      <c r="Z114" s="685"/>
      <c r="AA114" s="686" t="s">
        <v>504</v>
      </c>
      <c r="AB114" s="686" t="s">
        <v>504</v>
      </c>
      <c r="AC114" s="694" t="str">
        <f t="shared" si="1"/>
        <v/>
      </c>
      <c r="AD114" s="689"/>
    </row>
    <row r="115" spans="2:30" x14ac:dyDescent="0.25">
      <c r="B115" s="385" t="str">
        <f>IF(ITEMS_Tech_N!D115="","",ITEMS_Tech_N!D115)</f>
        <v>*</v>
      </c>
      <c r="C115" s="232" t="str">
        <f>IF(ITEMS_Tech_N!E115="","",ITEMS_Tech_N!E115)</f>
        <v>Transport Other</v>
      </c>
      <c r="D115" s="219"/>
      <c r="E115" s="219"/>
      <c r="F115" s="377">
        <f>IFERROR(INDEX('EFF-N_ANTC'!$J$6:$N$96,MATCH($B115,'EFF-N_ANTC'!$A$6:$A$96,0),MATCH(F$5,'EFF-N_ANTC'!$J$5:$N$5,0)),"")</f>
        <v>0.23658855771912971</v>
      </c>
      <c r="G115" s="377">
        <f>IFERROR(INDEX('EFF-N_ANTC'!$J$6:$N$96,MATCH($B115,'EFF-N_ANTC'!$A$6:$A$96,0),MATCH(G$5,'EFF-N_ANTC'!$J$5:$N$5,0)),"")</f>
        <v>0.25508715046378805</v>
      </c>
      <c r="H115" s="377">
        <f>IFERROR(INDEX('EFF-N_ANTC'!$J$6:$N$96,MATCH($B115,'EFF-N_ANTC'!$A$6:$A$96,0),MATCH(H$5,'EFF-N_ANTC'!$J$5:$N$5,0)),"")</f>
        <v>0.28205684025891897</v>
      </c>
      <c r="I115" s="377">
        <f>IFERROR(INDEX('EFF-N_ANTC'!$J$6:$N$96,MATCH($B115,'EFF-N_ANTC'!$A$6:$A$96,0),MATCH(I$5,'EFF-N_ANTC'!$J$5:$N$5,0)),"")</f>
        <v>0.31187796402994067</v>
      </c>
      <c r="J115" s="379"/>
      <c r="K115" s="379"/>
      <c r="L115" s="379"/>
      <c r="M115" s="379"/>
      <c r="N115" s="379"/>
      <c r="O115" s="379">
        <f>IFERROR(INDEX('CapUnit-N_ANTC'!$C$6:$C$96,MATCH($B115,'CapUnit-N_ANTC'!$A$6:$A$96,0)),"")</f>
        <v>2.4E-2</v>
      </c>
      <c r="P115" s="684" t="s">
        <v>504</v>
      </c>
      <c r="Q115" s="684" t="s">
        <v>504</v>
      </c>
      <c r="R115" s="684" t="s">
        <v>504</v>
      </c>
      <c r="S115" s="684" t="s">
        <v>504</v>
      </c>
      <c r="T115" s="684" t="s">
        <v>504</v>
      </c>
      <c r="U115" s="684" t="s">
        <v>504</v>
      </c>
      <c r="V115" s="684" t="s">
        <v>504</v>
      </c>
      <c r="W115" s="685"/>
      <c r="X115" s="685"/>
      <c r="Y115" s="685"/>
      <c r="Z115" s="685"/>
      <c r="AA115" s="686" t="s">
        <v>504</v>
      </c>
      <c r="AB115" s="686" t="s">
        <v>504</v>
      </c>
      <c r="AC115" s="694" t="str">
        <f t="shared" si="1"/>
        <v/>
      </c>
      <c r="AD115" s="689"/>
    </row>
    <row r="116" spans="2:30" x14ac:dyDescent="0.25">
      <c r="B116" s="385" t="str">
        <f>IF(ITEMS_Tech_N!D116="","",ITEMS_Tech_N!D116)</f>
        <v>TFPIPELC-N</v>
      </c>
      <c r="C116" s="232" t="str">
        <f>IF(ITEMS_Tech_N!E116="","",ITEMS_Tech_N!E116)</f>
        <v>Transport Other - Pipeline Electricity-N</v>
      </c>
      <c r="D116" s="219" t="s">
        <v>412</v>
      </c>
      <c r="E116" s="219" t="s">
        <v>448</v>
      </c>
      <c r="F116" s="377">
        <f>IFERROR(INDEX('EFF-N_ANTC'!$J$6:$N$96,MATCH($B116,'EFF-N_ANTC'!$A$6:$A$96,0),MATCH(F$5,'EFF-N_ANTC'!$J$5:$N$5,0)),"")</f>
        <v>1</v>
      </c>
      <c r="G116" s="377">
        <f>IFERROR(INDEX('EFF-N_ANTC'!$J$6:$N$96,MATCH($B116,'EFF-N_ANTC'!$A$6:$A$96,0),MATCH(G$5,'EFF-N_ANTC'!$J$5:$N$5,0)),"")</f>
        <v>1</v>
      </c>
      <c r="H116" s="377">
        <f>IFERROR(INDEX('EFF-N_ANTC'!$J$6:$N$96,MATCH($B116,'EFF-N_ANTC'!$A$6:$A$96,0),MATCH(H$5,'EFF-N_ANTC'!$J$5:$N$5,0)),"")</f>
        <v>1</v>
      </c>
      <c r="I116" s="377">
        <f>IFERROR(INDEX('EFF-N_ANTC'!$J$6:$N$96,MATCH($B116,'EFF-N_ANTC'!$A$6:$A$96,0),MATCH(I$5,'EFF-N_ANTC'!$J$5:$N$5,0)),"")</f>
        <v>1</v>
      </c>
      <c r="J116" s="652">
        <v>1</v>
      </c>
      <c r="K116" s="652">
        <v>1</v>
      </c>
      <c r="L116" s="652">
        <v>1</v>
      </c>
      <c r="M116" s="652">
        <v>1</v>
      </c>
      <c r="N116" s="652">
        <v>1</v>
      </c>
      <c r="O116" s="379">
        <f>IFERROR(INDEX('CapUnit-N_ANTC'!$C$6:$C$96,MATCH($B116,'CapUnit-N_ANTC'!$A$6:$A$96,0)),"")</f>
        <v>1</v>
      </c>
      <c r="P116" s="684">
        <v>10</v>
      </c>
      <c r="Q116" s="684">
        <v>10</v>
      </c>
      <c r="R116" s="684">
        <v>10</v>
      </c>
      <c r="S116" s="684">
        <v>10</v>
      </c>
      <c r="T116" s="684">
        <v>10</v>
      </c>
      <c r="U116" s="684">
        <v>10</v>
      </c>
      <c r="V116" s="684">
        <v>10</v>
      </c>
      <c r="W116" s="685"/>
      <c r="X116" s="685"/>
      <c r="Y116" s="685"/>
      <c r="Z116" s="685"/>
      <c r="AA116" s="652">
        <v>50</v>
      </c>
      <c r="AB116" s="652">
        <v>50</v>
      </c>
      <c r="AC116" s="694">
        <f t="shared" si="1"/>
        <v>2018</v>
      </c>
      <c r="AD116" s="688">
        <v>1</v>
      </c>
    </row>
    <row r="117" spans="2:30" x14ac:dyDescent="0.25">
      <c r="B117" s="385" t="str">
        <f>IF(ITEMS_Tech_N!D117="","",ITEMS_Tech_N!D117)</f>
        <v>TAIJETOKE-N</v>
      </c>
      <c r="C117" s="232" t="str">
        <f>IF(ITEMS_Tech_N!E117="","",ITEMS_Tech_N!E117)</f>
        <v>Transport Other -  Aviation Int Jet Fuel  Oil Jet Fuel-N</v>
      </c>
      <c r="D117" s="219" t="s">
        <v>802</v>
      </c>
      <c r="E117" s="219" t="s">
        <v>450</v>
      </c>
      <c r="F117" s="377">
        <f>IFERROR(INDEX('EFF-N_ANTC'!$J$6:$N$96,MATCH($B117,'EFF-N_ANTC'!$A$6:$A$96,0),MATCH(F$5,'EFF-N_ANTC'!$J$5:$N$5,0)),"")</f>
        <v>1</v>
      </c>
      <c r="G117" s="377">
        <f>IFERROR(INDEX('EFF-N_ANTC'!$J$6:$N$96,MATCH($B117,'EFF-N_ANTC'!$A$6:$A$96,0),MATCH(G$5,'EFF-N_ANTC'!$J$5:$N$5,0)),"")</f>
        <v>1</v>
      </c>
      <c r="H117" s="377">
        <f>IFERROR(INDEX('EFF-N_ANTC'!$J$6:$N$96,MATCH($B117,'EFF-N_ANTC'!$A$6:$A$96,0),MATCH(H$5,'EFF-N_ANTC'!$J$5:$N$5,0)),"")</f>
        <v>1</v>
      </c>
      <c r="I117" s="377">
        <f>IFERROR(INDEX('EFF-N_ANTC'!$J$6:$N$96,MATCH($B117,'EFF-N_ANTC'!$A$6:$A$96,0),MATCH(I$5,'EFF-N_ANTC'!$J$5:$N$5,0)),"")</f>
        <v>1</v>
      </c>
      <c r="J117" s="652">
        <v>1</v>
      </c>
      <c r="K117" s="652">
        <v>1</v>
      </c>
      <c r="L117" s="652">
        <v>1</v>
      </c>
      <c r="M117" s="652">
        <v>1</v>
      </c>
      <c r="N117" s="652">
        <v>1</v>
      </c>
      <c r="O117" s="379">
        <f>IFERROR(INDEX('CapUnit-N_ANTC'!$C$6:$C$96,MATCH($B117,'CapUnit-N_ANTC'!$A$6:$A$96,0)),"")</f>
        <v>1</v>
      </c>
      <c r="P117" s="684">
        <v>10</v>
      </c>
      <c r="Q117" s="684">
        <v>10</v>
      </c>
      <c r="R117" s="684">
        <v>10</v>
      </c>
      <c r="S117" s="684">
        <v>10</v>
      </c>
      <c r="T117" s="684">
        <v>10</v>
      </c>
      <c r="U117" s="684">
        <v>10</v>
      </c>
      <c r="V117" s="684">
        <v>10</v>
      </c>
      <c r="W117" s="685"/>
      <c r="X117" s="685"/>
      <c r="Y117" s="685"/>
      <c r="Z117" s="685"/>
      <c r="AA117" s="652">
        <v>50</v>
      </c>
      <c r="AB117" s="652">
        <v>50</v>
      </c>
      <c r="AC117" s="694">
        <f t="shared" si="1"/>
        <v>2018</v>
      </c>
      <c r="AD117" s="688">
        <v>1</v>
      </c>
    </row>
    <row r="118" spans="2:30" x14ac:dyDescent="0.25">
      <c r="B118" s="385" t="str">
        <f>IF(ITEMS_Tech_N!D118="","",ITEMS_Tech_N!D118)</f>
        <v>TADJETOKE-N</v>
      </c>
      <c r="C118" s="232" t="str">
        <f>IF(ITEMS_Tech_N!E118="","",ITEMS_Tech_N!E118)</f>
        <v>Transport Other -  Aviation Dom Jet Fuel  Oil Jet Fuel-N</v>
      </c>
      <c r="D118" s="219" t="s">
        <v>802</v>
      </c>
      <c r="E118" s="219" t="s">
        <v>452</v>
      </c>
      <c r="F118" s="377">
        <f>IFERROR(INDEX('EFF-N_ANTC'!$J$6:$N$96,MATCH($B118,'EFF-N_ANTC'!$A$6:$A$96,0),MATCH(F$5,'EFF-N_ANTC'!$J$5:$N$5,0)),"")</f>
        <v>1</v>
      </c>
      <c r="G118" s="377">
        <f>IFERROR(INDEX('EFF-N_ANTC'!$J$6:$N$96,MATCH($B118,'EFF-N_ANTC'!$A$6:$A$96,0),MATCH(G$5,'EFF-N_ANTC'!$J$5:$N$5,0)),"")</f>
        <v>1</v>
      </c>
      <c r="H118" s="377">
        <f>IFERROR(INDEX('EFF-N_ANTC'!$J$6:$N$96,MATCH($B118,'EFF-N_ANTC'!$A$6:$A$96,0),MATCH(H$5,'EFF-N_ANTC'!$J$5:$N$5,0)),"")</f>
        <v>1</v>
      </c>
      <c r="I118" s="377">
        <f>IFERROR(INDEX('EFF-N_ANTC'!$J$6:$N$96,MATCH($B118,'EFF-N_ANTC'!$A$6:$A$96,0),MATCH(I$5,'EFF-N_ANTC'!$J$5:$N$5,0)),"")</f>
        <v>1</v>
      </c>
      <c r="J118" s="652">
        <v>1</v>
      </c>
      <c r="K118" s="652">
        <v>1</v>
      </c>
      <c r="L118" s="652">
        <v>1</v>
      </c>
      <c r="M118" s="652">
        <v>1</v>
      </c>
      <c r="N118" s="652">
        <v>1</v>
      </c>
      <c r="O118" s="379">
        <f>IFERROR(INDEX('CapUnit-N_ANTC'!$C$6:$C$96,MATCH($B118,'CapUnit-N_ANTC'!$A$6:$A$96,0)),"")</f>
        <v>1</v>
      </c>
      <c r="P118" s="684">
        <v>10</v>
      </c>
      <c r="Q118" s="684">
        <v>10</v>
      </c>
      <c r="R118" s="684">
        <v>10</v>
      </c>
      <c r="S118" s="684">
        <v>10</v>
      </c>
      <c r="T118" s="684">
        <v>10</v>
      </c>
      <c r="U118" s="684">
        <v>10</v>
      </c>
      <c r="V118" s="684">
        <v>10</v>
      </c>
      <c r="W118" s="685"/>
      <c r="X118" s="685"/>
      <c r="Y118" s="685"/>
      <c r="Z118" s="685"/>
      <c r="AA118" s="652">
        <v>50</v>
      </c>
      <c r="AB118" s="652">
        <v>50</v>
      </c>
      <c r="AC118" s="694">
        <f t="shared" si="1"/>
        <v>2018</v>
      </c>
      <c r="AD118" s="688">
        <v>1</v>
      </c>
    </row>
    <row r="119" spans="2:30" x14ac:dyDescent="0.25">
      <c r="B119" s="385" t="str">
        <f>IF(ITEMS_Tech_N!D119="","",ITEMS_Tech_N!D119)</f>
        <v>TAOAGOAG-N</v>
      </c>
      <c r="C119" s="232" t="str">
        <f>IF(ITEMS_Tech_N!E119="","",ITEMS_Tech_N!E119)</f>
        <v>Transport Other - Aviation Gasoline T-N</v>
      </c>
      <c r="D119" s="219" t="s">
        <v>800</v>
      </c>
      <c r="E119" s="219" t="s">
        <v>454</v>
      </c>
      <c r="F119" s="377">
        <f>IFERROR(INDEX('EFF-N_ANTC'!$J$6:$N$96,MATCH($B119,'EFF-N_ANTC'!$A$6:$A$96,0),MATCH(F$5,'EFF-N_ANTC'!$J$5:$N$5,0)),"")</f>
        <v>1</v>
      </c>
      <c r="G119" s="377">
        <f>IFERROR(INDEX('EFF-N_ANTC'!$J$6:$N$96,MATCH($B119,'EFF-N_ANTC'!$A$6:$A$96,0),MATCH(G$5,'EFF-N_ANTC'!$J$5:$N$5,0)),"")</f>
        <v>1</v>
      </c>
      <c r="H119" s="377">
        <f>IFERROR(INDEX('EFF-N_ANTC'!$J$6:$N$96,MATCH($B119,'EFF-N_ANTC'!$A$6:$A$96,0),MATCH(H$5,'EFF-N_ANTC'!$J$5:$N$5,0)),"")</f>
        <v>1</v>
      </c>
      <c r="I119" s="377">
        <f>IFERROR(INDEX('EFF-N_ANTC'!$J$6:$N$96,MATCH($B119,'EFF-N_ANTC'!$A$6:$A$96,0),MATCH(I$5,'EFF-N_ANTC'!$J$5:$N$5,0)),"")</f>
        <v>1</v>
      </c>
      <c r="J119" s="652">
        <v>1</v>
      </c>
      <c r="K119" s="652">
        <v>1</v>
      </c>
      <c r="L119" s="652">
        <v>1</v>
      </c>
      <c r="M119" s="652">
        <v>1</v>
      </c>
      <c r="N119" s="652">
        <v>1</v>
      </c>
      <c r="O119" s="379">
        <f>IFERROR(INDEX('CapUnit-N_ANTC'!$C$6:$C$96,MATCH($B119,'CapUnit-N_ANTC'!$A$6:$A$96,0)),"")</f>
        <v>1</v>
      </c>
      <c r="P119" s="684">
        <v>10</v>
      </c>
      <c r="Q119" s="684">
        <v>10</v>
      </c>
      <c r="R119" s="684">
        <v>10</v>
      </c>
      <c r="S119" s="684">
        <v>10</v>
      </c>
      <c r="T119" s="684">
        <v>10</v>
      </c>
      <c r="U119" s="684">
        <v>10</v>
      </c>
      <c r="V119" s="684">
        <v>10</v>
      </c>
      <c r="W119" s="685"/>
      <c r="X119" s="685"/>
      <c r="Y119" s="685"/>
      <c r="Z119" s="685"/>
      <c r="AA119" s="652">
        <v>50</v>
      </c>
      <c r="AB119" s="652">
        <v>50</v>
      </c>
      <c r="AC119" s="694">
        <f t="shared" si="1"/>
        <v>2018</v>
      </c>
      <c r="AD119" s="688">
        <v>1</v>
      </c>
    </row>
    <row r="120" spans="2:30" x14ac:dyDescent="0.25">
      <c r="B120" s="385" t="str">
        <f>IF(ITEMS_Tech_N!D120="","",ITEMS_Tech_N!D120)</f>
        <v>TSHFOOHF-N</v>
      </c>
      <c r="C120" s="232" t="str">
        <f>IF(ITEMS_Tech_N!E120="","",ITEMS_Tech_N!E120)</f>
        <v>Transport Other - HFO Oil HFO-N</v>
      </c>
      <c r="D120" s="219" t="s">
        <v>801</v>
      </c>
      <c r="E120" s="219" t="s">
        <v>456</v>
      </c>
      <c r="F120" s="377">
        <f>IFERROR(INDEX('EFF-N_ANTC'!$J$6:$N$96,MATCH($B120,'EFF-N_ANTC'!$A$6:$A$96,0),MATCH(F$5,'EFF-N_ANTC'!$J$5:$N$5,0)),"")</f>
        <v>1</v>
      </c>
      <c r="G120" s="377">
        <f>IFERROR(INDEX('EFF-N_ANTC'!$J$6:$N$96,MATCH($B120,'EFF-N_ANTC'!$A$6:$A$96,0),MATCH(G$5,'EFF-N_ANTC'!$J$5:$N$5,0)),"")</f>
        <v>1</v>
      </c>
      <c r="H120" s="377">
        <f>IFERROR(INDEX('EFF-N_ANTC'!$J$6:$N$96,MATCH($B120,'EFF-N_ANTC'!$A$6:$A$96,0),MATCH(H$5,'EFF-N_ANTC'!$J$5:$N$5,0)),"")</f>
        <v>1</v>
      </c>
      <c r="I120" s="377">
        <f>IFERROR(INDEX('EFF-N_ANTC'!$J$6:$N$96,MATCH($B120,'EFF-N_ANTC'!$A$6:$A$96,0),MATCH(I$5,'EFF-N_ANTC'!$J$5:$N$5,0)),"")</f>
        <v>1</v>
      </c>
      <c r="J120" s="652">
        <v>1</v>
      </c>
      <c r="K120" s="652">
        <v>1</v>
      </c>
      <c r="L120" s="652">
        <v>1</v>
      </c>
      <c r="M120" s="652">
        <v>1</v>
      </c>
      <c r="N120" s="652">
        <v>1</v>
      </c>
      <c r="O120" s="379">
        <f>IFERROR(INDEX('CapUnit-N_ANTC'!$C$6:$C$96,MATCH($B120,'CapUnit-N_ANTC'!$A$6:$A$96,0)),"")</f>
        <v>1</v>
      </c>
      <c r="P120" s="684">
        <v>10</v>
      </c>
      <c r="Q120" s="684">
        <v>10</v>
      </c>
      <c r="R120" s="684">
        <v>10</v>
      </c>
      <c r="S120" s="684">
        <v>10</v>
      </c>
      <c r="T120" s="684">
        <v>10</v>
      </c>
      <c r="U120" s="684">
        <v>10</v>
      </c>
      <c r="V120" s="684">
        <v>10</v>
      </c>
      <c r="W120" s="685"/>
      <c r="X120" s="685"/>
      <c r="Y120" s="685"/>
      <c r="Z120" s="685"/>
      <c r="AA120" s="652">
        <v>50</v>
      </c>
      <c r="AB120" s="652">
        <v>50</v>
      </c>
      <c r="AC120" s="724">
        <v>2017</v>
      </c>
      <c r="AD120" s="688">
        <v>1</v>
      </c>
    </row>
    <row r="121" spans="2:30" x14ac:dyDescent="0.25">
      <c r="B121" s="385" t="str">
        <f>IF(ITEMS_Tech_N!D121="","",ITEMS_Tech_N!D121)</f>
        <v>*</v>
      </c>
      <c r="C121" s="232" t="str">
        <f>IF(ITEMS_Tech_N!E121="","",ITEMS_Tech_N!E121)</f>
        <v/>
      </c>
      <c r="D121" s="219"/>
      <c r="E121" s="219"/>
      <c r="F121" s="377">
        <f>IFERROR(INDEX('EFF-N_ANTC'!$J$6:$N$96,MATCH($B121,'EFF-N_ANTC'!$A$6:$A$96,0),MATCH(F$5,'EFF-N_ANTC'!$J$5:$N$5,0)),"")</f>
        <v>0.23658855771912971</v>
      </c>
      <c r="G121" s="377">
        <f>IFERROR(INDEX('EFF-N_ANTC'!$J$6:$N$96,MATCH($B121,'EFF-N_ANTC'!$A$6:$A$96,0),MATCH(G$5,'EFF-N_ANTC'!$J$5:$N$5,0)),"")</f>
        <v>0.25508715046378805</v>
      </c>
      <c r="H121" s="377">
        <f>IFERROR(INDEX('EFF-N_ANTC'!$J$6:$N$96,MATCH($B121,'EFF-N_ANTC'!$A$6:$A$96,0),MATCH(H$5,'EFF-N_ANTC'!$J$5:$N$5,0)),"")</f>
        <v>0.28205684025891897</v>
      </c>
      <c r="I121" s="377">
        <f>IFERROR(INDEX('EFF-N_ANTC'!$J$6:$N$96,MATCH($B121,'EFF-N_ANTC'!$A$6:$A$96,0),MATCH(I$5,'EFF-N_ANTC'!$J$5:$N$5,0)),"")</f>
        <v>0.31187796402994067</v>
      </c>
      <c r="J121" s="379"/>
      <c r="K121" s="379"/>
      <c r="L121" s="379"/>
      <c r="M121" s="379"/>
      <c r="N121" s="379"/>
      <c r="O121" s="379">
        <f>IFERROR(INDEX('CapUnit-N_ANTC'!$C$6:$C$96,MATCH($B121,'CapUnit-N_ANTC'!$A$6:$A$96,0)),"")</f>
        <v>2.4E-2</v>
      </c>
      <c r="P121" s="684" t="s">
        <v>504</v>
      </c>
      <c r="Q121" s="684" t="s">
        <v>504</v>
      </c>
      <c r="R121" s="684" t="s">
        <v>504</v>
      </c>
      <c r="S121" s="684" t="s">
        <v>504</v>
      </c>
      <c r="T121" s="684" t="s">
        <v>504</v>
      </c>
      <c r="U121" s="684" t="s">
        <v>504</v>
      </c>
      <c r="V121" s="684" t="s">
        <v>504</v>
      </c>
      <c r="W121" s="685"/>
      <c r="X121" s="685"/>
      <c r="Y121" s="685"/>
      <c r="Z121" s="685"/>
      <c r="AA121" s="686" t="s">
        <v>504</v>
      </c>
      <c r="AB121" s="686" t="s">
        <v>504</v>
      </c>
      <c r="AC121" s="694" t="str">
        <f t="shared" si="1"/>
        <v/>
      </c>
      <c r="AD121" s="689"/>
    </row>
    <row r="122" spans="2:30" x14ac:dyDescent="0.25">
      <c r="B122" s="385" t="str">
        <f>IF(ITEMS_Tech_N!D122="","",ITEMS_Tech_N!D122)</f>
        <v>*</v>
      </c>
      <c r="C122" s="232" t="str">
        <f>IF(ITEMS_Tech_N!E122="","",ITEMS_Tech_N!E122)</f>
        <v/>
      </c>
      <c r="D122" s="219"/>
      <c r="E122" s="219"/>
      <c r="F122" s="377">
        <f>IFERROR(INDEX('EFF-N_ANTC'!$J$6:$N$96,MATCH($B122,'EFF-N_ANTC'!$A$6:$A$96,0),MATCH(F$5,'EFF-N_ANTC'!$J$5:$N$5,0)),"")</f>
        <v>0.23658855771912971</v>
      </c>
      <c r="G122" s="377">
        <f>IFERROR(INDEX('EFF-N_ANTC'!$J$6:$N$96,MATCH($B122,'EFF-N_ANTC'!$A$6:$A$96,0),MATCH(G$5,'EFF-N_ANTC'!$J$5:$N$5,0)),"")</f>
        <v>0.25508715046378805</v>
      </c>
      <c r="H122" s="377">
        <f>IFERROR(INDEX('EFF-N_ANTC'!$J$6:$N$96,MATCH($B122,'EFF-N_ANTC'!$A$6:$A$96,0),MATCH(H$5,'EFF-N_ANTC'!$J$5:$N$5,0)),"")</f>
        <v>0.28205684025891897</v>
      </c>
      <c r="I122" s="377">
        <f>IFERROR(INDEX('EFF-N_ANTC'!$J$6:$N$96,MATCH($B122,'EFF-N_ANTC'!$A$6:$A$96,0),MATCH(I$5,'EFF-N_ANTC'!$J$5:$N$5,0)),"")</f>
        <v>0.31187796402994067</v>
      </c>
      <c r="J122" s="379"/>
      <c r="K122" s="379"/>
      <c r="L122" s="379"/>
      <c r="M122" s="379"/>
      <c r="N122" s="379"/>
      <c r="O122" s="379">
        <f>IFERROR(INDEX('CapUnit-N_ANTC'!$C$6:$C$96,MATCH($B122,'CapUnit-N_ANTC'!$A$6:$A$96,0)),"")</f>
        <v>2.4E-2</v>
      </c>
      <c r="P122" s="684" t="s">
        <v>504</v>
      </c>
      <c r="Q122" s="684" t="s">
        <v>504</v>
      </c>
      <c r="R122" s="684" t="s">
        <v>504</v>
      </c>
      <c r="S122" s="684" t="s">
        <v>504</v>
      </c>
      <c r="T122" s="684" t="s">
        <v>504</v>
      </c>
      <c r="U122" s="684">
        <v>3</v>
      </c>
      <c r="V122" s="684" t="s">
        <v>504</v>
      </c>
      <c r="W122" s="685" t="s">
        <v>504</v>
      </c>
      <c r="X122" s="685" t="s">
        <v>504</v>
      </c>
      <c r="Y122" s="685" t="s">
        <v>504</v>
      </c>
      <c r="Z122" s="685" t="s">
        <v>504</v>
      </c>
      <c r="AA122" s="686" t="s">
        <v>504</v>
      </c>
      <c r="AB122" s="686" t="s">
        <v>504</v>
      </c>
      <c r="AC122" s="694" t="str">
        <f t="shared" si="1"/>
        <v/>
      </c>
      <c r="AD122" s="689"/>
    </row>
  </sheetData>
  <autoFilter ref="A4:AD122" xr:uid="{CE0E959F-180A-4B08-96FA-36841AD24360}"/>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1" id="{F5451E8E-3EF5-49B7-B0F2-E60017117777}">
            <xm:f>COUNTIF(FNRG_ANTC!$D$4:$D$51,$D6)&lt;1</xm:f>
            <x14:dxf>
              <font>
                <color rgb="FFFF0000"/>
              </font>
              <fill>
                <patternFill patternType="none">
                  <bgColor auto="1"/>
                </patternFill>
              </fill>
            </x14:dxf>
          </x14:cfRule>
          <xm:sqref>D6:D122</xm:sqref>
        </x14:conditionalFormatting>
        <x14:conditionalFormatting xmlns:xm="http://schemas.microsoft.com/office/excel/2006/main">
          <x14:cfRule type="expression" priority="2" id="{D3D54021-E156-48ED-A049-526C51F7165B}">
            <xm:f>COUNTIF(FNRG_ANTC!$E$4:$E$51,$E6)&lt;1</xm:f>
            <x14:dxf>
              <font>
                <color rgb="FFFF0000"/>
              </font>
              <fill>
                <patternFill patternType="none">
                  <bgColor auto="1"/>
                </patternFill>
              </fill>
            </x14:dxf>
          </x14:cfRule>
          <xm:sqref>E6:E122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342687-D08A-4044-AF12-E12BC3AD0BD7}">
  <sheetPr>
    <tabColor theme="6" tint="0.59999389629810485"/>
  </sheetPr>
  <dimension ref="A1:O98"/>
  <sheetViews>
    <sheetView workbookViewId="0"/>
  </sheetViews>
  <sheetFormatPr defaultRowHeight="15" x14ac:dyDescent="0.25"/>
  <cols>
    <col min="1" max="1" width="24.5703125" customWidth="1"/>
    <col min="2" max="2" width="54.42578125" customWidth="1"/>
    <col min="3" max="4" width="19.5703125" customWidth="1"/>
    <col min="5" max="5" width="10" customWidth="1"/>
    <col min="15" max="15" width="39.5703125" customWidth="1"/>
  </cols>
  <sheetData>
    <row r="1" spans="1:15" ht="18" thickBot="1" x14ac:dyDescent="0.35">
      <c r="A1" s="1" t="s">
        <v>1155</v>
      </c>
      <c r="E1" t="s">
        <v>1176</v>
      </c>
      <c r="J1" t="s">
        <v>570</v>
      </c>
    </row>
    <row r="2" spans="1:15" ht="15.75" thickTop="1" x14ac:dyDescent="0.25">
      <c r="D2" s="220"/>
      <c r="E2" s="649" t="s">
        <v>1164</v>
      </c>
      <c r="F2" s="646"/>
      <c r="G2" s="646"/>
      <c r="H2" s="646"/>
      <c r="I2" s="646"/>
      <c r="J2" s="77" t="s">
        <v>501</v>
      </c>
    </row>
    <row r="3" spans="1:15" x14ac:dyDescent="0.25">
      <c r="D3" s="384" t="s">
        <v>1158</v>
      </c>
      <c r="E3" s="649" t="s">
        <v>1157</v>
      </c>
      <c r="F3" s="647">
        <v>-5.0000000000000001E-3</v>
      </c>
      <c r="G3" s="647">
        <v>-7.4999999999999997E-3</v>
      </c>
      <c r="H3" s="647">
        <v>-0.01</v>
      </c>
      <c r="I3" s="647">
        <v>-0.01</v>
      </c>
      <c r="J3" s="77" t="s">
        <v>1160</v>
      </c>
    </row>
    <row r="4" spans="1:15" x14ac:dyDescent="0.25">
      <c r="D4" s="384" t="s">
        <v>1159</v>
      </c>
      <c r="E4" s="649" t="s">
        <v>1157</v>
      </c>
      <c r="F4" s="647">
        <v>-1E-3</v>
      </c>
      <c r="G4" s="647">
        <v>-5.4999999999999997E-3</v>
      </c>
      <c r="H4" s="647">
        <v>-0.01</v>
      </c>
      <c r="I4" s="647">
        <v>-0.01</v>
      </c>
      <c r="J4" s="77" t="s">
        <v>1160</v>
      </c>
    </row>
    <row r="5" spans="1:15" ht="15.75" thickBot="1" x14ac:dyDescent="0.3">
      <c r="A5" s="644" t="s">
        <v>1</v>
      </c>
      <c r="B5" s="644" t="s">
        <v>548</v>
      </c>
      <c r="C5" s="644" t="s">
        <v>1108</v>
      </c>
      <c r="D5" s="644" t="s">
        <v>1109</v>
      </c>
      <c r="E5" s="644">
        <v>2017</v>
      </c>
      <c r="F5" s="644">
        <v>2020</v>
      </c>
      <c r="G5" s="644">
        <v>2030</v>
      </c>
      <c r="H5" s="644">
        <v>2040</v>
      </c>
      <c r="I5" s="644">
        <v>2050</v>
      </c>
      <c r="J5" s="644">
        <v>2017</v>
      </c>
      <c r="K5" s="644">
        <v>2020</v>
      </c>
      <c r="L5" s="644">
        <v>2030</v>
      </c>
      <c r="M5" s="644">
        <v>2040</v>
      </c>
      <c r="N5" s="644">
        <v>2050</v>
      </c>
      <c r="O5" s="644" t="s">
        <v>1165</v>
      </c>
    </row>
    <row r="6" spans="1:15" x14ac:dyDescent="0.25">
      <c r="A6" s="227" t="s">
        <v>921</v>
      </c>
      <c r="B6" s="220" t="str">
        <f>VLOOKUP($A6,ITEMS_Tech_N!$D$6:$E$122,2,FALSE)</f>
        <v>Transport Passenger SUV Priv.Veh. Oil Diesel-N</v>
      </c>
      <c r="C6" s="220" t="s">
        <v>1110</v>
      </c>
      <c r="D6" s="220" t="s">
        <v>1111</v>
      </c>
      <c r="E6" s="392">
        <f>IFERROR(1/INDEX('EFF-E_ANTC'!$D$4:$D$47,MATCH($A6,'EFF-E_ANTC'!$J$4:$J$47,0)),"")</f>
        <v>4.2907876409062018</v>
      </c>
      <c r="F6" s="648">
        <f>E6*(1+F$3)^(F$5-E$5)</f>
        <v>4.2267470990172216</v>
      </c>
      <c r="G6" s="648">
        <f t="shared" ref="G6:I6" si="0">F6*(1+G$3)^(G$5-F$5)</f>
        <v>3.9202288244697736</v>
      </c>
      <c r="H6" s="648">
        <f t="shared" si="0"/>
        <v>3.5453846787832997</v>
      </c>
      <c r="I6" s="648">
        <f t="shared" si="0"/>
        <v>3.2063823525024637</v>
      </c>
      <c r="J6" s="233">
        <f t="shared" ref="J6:J71" si="1">1/E6</f>
        <v>0.23305744392160199</v>
      </c>
      <c r="K6" s="233">
        <f>1/F6</f>
        <v>0.23658855771912971</v>
      </c>
      <c r="L6" s="233">
        <f t="shared" ref="L6:L12" si="2">1/G6</f>
        <v>0.25508715046378805</v>
      </c>
      <c r="M6" s="233">
        <f t="shared" ref="M6:M12" si="3">1/H6</f>
        <v>0.28205684025891897</v>
      </c>
      <c r="N6" s="233">
        <f t="shared" ref="N6:N12" si="4">1/I6</f>
        <v>0.31187796402994067</v>
      </c>
      <c r="O6" s="342" t="s">
        <v>1166</v>
      </c>
    </row>
    <row r="7" spans="1:15" x14ac:dyDescent="0.25">
      <c r="A7" s="227" t="s">
        <v>924</v>
      </c>
      <c r="B7" s="220" t="str">
        <f>VLOOKUP($A7,ITEMS_Tech_N!$D$6:$E$122,2,FALSE)</f>
        <v>Transport Passenger SUV Priv.Veh. Oil Gasoline-N</v>
      </c>
      <c r="C7" s="220" t="s">
        <v>1110</v>
      </c>
      <c r="D7" s="220" t="s">
        <v>1112</v>
      </c>
      <c r="E7" s="392">
        <f>IFERROR(1/INDEX('EFF-E_ANTC'!$D$4:$D$47,MATCH($A7,'EFF-E_ANTC'!$J$4:$J$47,0)),"")</f>
        <v>4.6346316963807146</v>
      </c>
      <c r="F7" s="648">
        <f t="shared" ref="F7:I8" si="5">E7*(1+F$3)^(F$5-E$5)</f>
        <v>4.5654592389832702</v>
      </c>
      <c r="G7" s="648">
        <f t="shared" si="5"/>
        <v>4.2343779947859925</v>
      </c>
      <c r="H7" s="648">
        <f t="shared" si="5"/>
        <v>3.829495557296176</v>
      </c>
      <c r="I7" s="648">
        <f t="shared" si="5"/>
        <v>3.4633271383445132</v>
      </c>
      <c r="J7" s="233">
        <f t="shared" si="1"/>
        <v>0.21576687545224402</v>
      </c>
      <c r="K7" s="233">
        <f t="shared" ref="K7:K11" si="6">1/F7</f>
        <v>0.219036015361009</v>
      </c>
      <c r="L7" s="233">
        <f t="shared" si="2"/>
        <v>0.2361621945965503</v>
      </c>
      <c r="M7" s="233">
        <f t="shared" si="3"/>
        <v>0.26113099885825491</v>
      </c>
      <c r="N7" s="233">
        <f t="shared" si="4"/>
        <v>0.28873968876009926</v>
      </c>
      <c r="O7" s="342" t="s">
        <v>1166</v>
      </c>
    </row>
    <row r="8" spans="1:15" x14ac:dyDescent="0.25">
      <c r="A8" s="227" t="s">
        <v>926</v>
      </c>
      <c r="B8" s="220" t="e">
        <f>VLOOKUP($A8,ITEMS_Tech_N!$D$6:$E$122,2,FALSE)</f>
        <v>#N/A</v>
      </c>
      <c r="C8" s="220" t="s">
        <v>1110</v>
      </c>
      <c r="D8" s="220" t="s">
        <v>1113</v>
      </c>
      <c r="E8" s="238">
        <f>E6*E9/E7</f>
        <v>2.165166359838921</v>
      </c>
      <c r="F8" s="648">
        <f t="shared" si="5"/>
        <v>2.1328509812725303</v>
      </c>
      <c r="G8" s="648">
        <f t="shared" si="5"/>
        <v>1.9781793656467703</v>
      </c>
      <c r="H8" s="648">
        <f t="shared" si="5"/>
        <v>1.7890299594432264</v>
      </c>
      <c r="I8" s="648">
        <f t="shared" si="5"/>
        <v>1.6179666269741821</v>
      </c>
      <c r="J8" s="233">
        <f t="shared" si="1"/>
        <v>0.46185827498003235</v>
      </c>
      <c r="K8" s="233">
        <f t="shared" si="6"/>
        <v>0.46885600952925766</v>
      </c>
      <c r="L8" s="233">
        <f t="shared" si="2"/>
        <v>0.50551533261648784</v>
      </c>
      <c r="M8" s="233">
        <f t="shared" si="3"/>
        <v>0.55896213180868992</v>
      </c>
      <c r="N8" s="233">
        <f t="shared" si="4"/>
        <v>0.61805971972990326</v>
      </c>
      <c r="O8" s="342" t="s">
        <v>1163</v>
      </c>
    </row>
    <row r="9" spans="1:15" x14ac:dyDescent="0.25">
      <c r="A9" s="227" t="s">
        <v>928</v>
      </c>
      <c r="B9" s="220" t="str">
        <f>VLOOKUP($A9,ITEMS_Tech_N!$D$6:$E$122,2,FALSE)</f>
        <v>Transport Passenger SUV Priv.Veh. Oil Gasoline Hybrid-N</v>
      </c>
      <c r="C9" s="220" t="s">
        <v>1110</v>
      </c>
      <c r="D9" s="220" t="s">
        <v>1114</v>
      </c>
      <c r="E9" s="392">
        <f>IFERROR(1/INDEX('EFF-E_ANTC'!$D$4:$D$47,MATCH($A9,'EFF-E_ANTC'!$J$4:$J$47,0)),"")</f>
        <v>2.3386728682586129</v>
      </c>
      <c r="F9" s="648">
        <f t="shared" ref="F9:I9" si="7">E9*(1+F$3)^(F$5-E$5)</f>
        <v>2.3037678833657447</v>
      </c>
      <c r="G9" s="648">
        <f t="shared" si="7"/>
        <v>2.136701593373783</v>
      </c>
      <c r="H9" s="648">
        <f t="shared" si="7"/>
        <v>1.9323946206900002</v>
      </c>
      <c r="I9" s="648">
        <f t="shared" si="7"/>
        <v>1.7476230567954738</v>
      </c>
      <c r="J9" s="233">
        <f t="shared" si="1"/>
        <v>0.42759293682001998</v>
      </c>
      <c r="K9" s="233">
        <f t="shared" si="6"/>
        <v>0.43407150834094715</v>
      </c>
      <c r="L9" s="233">
        <f t="shared" si="2"/>
        <v>0.46801107047476492</v>
      </c>
      <c r="M9" s="233">
        <f t="shared" si="3"/>
        <v>0.51749264321742416</v>
      </c>
      <c r="N9" s="233">
        <f t="shared" si="4"/>
        <v>0.57220577178333198</v>
      </c>
      <c r="O9" s="342" t="s">
        <v>1166</v>
      </c>
    </row>
    <row r="10" spans="1:15" x14ac:dyDescent="0.25">
      <c r="A10" s="227" t="s">
        <v>1327</v>
      </c>
      <c r="B10" s="220" t="str">
        <f>VLOOKUP($A10,ITEMS_Tech_N!$D$6:$E$122,2,FALSE)</f>
        <v>Transport Passenger SUV Priv.Veh. Oil Gasoline Plug-in Hybrid-N</v>
      </c>
      <c r="C10" s="220" t="s">
        <v>1110</v>
      </c>
      <c r="D10" s="220" t="s">
        <v>1141</v>
      </c>
      <c r="E10" s="238">
        <f>4.85/7.3*E9</f>
        <v>1.553775809733462</v>
      </c>
      <c r="F10" s="648">
        <f t="shared" ref="F10" si="8">E10*(1+F$3)^(F$5-E$5)</f>
        <v>1.5305855115512139</v>
      </c>
      <c r="G10" s="648">
        <f t="shared" ref="G10" si="9">F10*(1+G$3)^(G$5-F$5)</f>
        <v>1.4195894147757324</v>
      </c>
      <c r="H10" s="648">
        <f t="shared" ref="H10" si="10">G10*(1+H$3)^(H$5-G$5)</f>
        <v>1.2838512205954111</v>
      </c>
      <c r="I10" s="648">
        <f t="shared" ref="I10" si="11">H10*(1+I$3)^(I$5-H$5)</f>
        <v>1.161092030884664</v>
      </c>
      <c r="J10" s="233">
        <f t="shared" ref="J10" si="12">1/E10</f>
        <v>0.64359349253322595</v>
      </c>
      <c r="K10" s="233">
        <f t="shared" ref="K10" si="13">1/F10</f>
        <v>0.65334474451317814</v>
      </c>
      <c r="L10" s="233">
        <f t="shared" ref="L10" si="14">1/G10</f>
        <v>0.70442903391047096</v>
      </c>
      <c r="M10" s="233">
        <f t="shared" ref="M10" si="15">1/H10</f>
        <v>0.77890645267777248</v>
      </c>
      <c r="N10" s="233">
        <f t="shared" ref="N10" si="16">1/I10</f>
        <v>0.86125817196254106</v>
      </c>
      <c r="O10" s="732" t="s">
        <v>1331</v>
      </c>
    </row>
    <row r="11" spans="1:15" x14ac:dyDescent="0.25">
      <c r="A11" s="227" t="s">
        <v>930</v>
      </c>
      <c r="B11" s="220" t="e">
        <f>VLOOKUP($A11,ITEMS_Tech_N!$D$6:$E$122,2,FALSE)</f>
        <v>#N/A</v>
      </c>
      <c r="C11" s="220" t="s">
        <v>1110</v>
      </c>
      <c r="D11" s="220" t="s">
        <v>1115</v>
      </c>
      <c r="E11" s="392">
        <f>IFERROR(1/INDEX('EFF-E_ANTC'!$D$4:$D$47,MATCH($A11,'EFF-E_ANTC'!$J$4:$J$47,0)),"")</f>
        <v>4.3937090355909589</v>
      </c>
      <c r="F11" s="648">
        <f t="shared" ref="F11:I11" si="17">E11*(1+F$3)^(F$5-E$5)</f>
        <v>4.3281323790211346</v>
      </c>
      <c r="G11" s="648">
        <f t="shared" si="17"/>
        <v>4.01426177409685</v>
      </c>
      <c r="H11" s="648">
        <f t="shared" si="17"/>
        <v>3.6304263928862333</v>
      </c>
      <c r="I11" s="648">
        <f t="shared" si="17"/>
        <v>3.2832925543651803</v>
      </c>
      <c r="J11" s="233">
        <f t="shared" si="1"/>
        <v>0.2275981390437018</v>
      </c>
      <c r="K11" s="233">
        <f t="shared" si="6"/>
        <v>0.23104653749665657</v>
      </c>
      <c r="L11" s="233">
        <f t="shared" si="2"/>
        <v>0.24911180592476068</v>
      </c>
      <c r="M11" s="233">
        <f t="shared" si="3"/>
        <v>0.27544973834464326</v>
      </c>
      <c r="N11" s="233">
        <f t="shared" si="4"/>
        <v>0.30457231070392643</v>
      </c>
      <c r="O11" s="342" t="s">
        <v>1166</v>
      </c>
    </row>
    <row r="12" spans="1:15" x14ac:dyDescent="0.25">
      <c r="A12" s="227" t="s">
        <v>932</v>
      </c>
      <c r="B12" s="220" t="str">
        <f>VLOOKUP($A12,ITEMS_Tech_N!$D$6:$E$122,2,FALSE)</f>
        <v>Transport Passenger SUV Priv.Veh. Hydrogen Fuel Cell-N</v>
      </c>
      <c r="C12" s="220" t="s">
        <v>1110</v>
      </c>
      <c r="D12" s="220" t="s">
        <v>1116</v>
      </c>
      <c r="E12" s="234">
        <f>F12*(1+F$3)^(E$5-F$5)</f>
        <v>1.2706121733804527</v>
      </c>
      <c r="F12" s="643" cm="1">
        <f t="array" ref="F12">IFERROR(INDEX('AEA2012'!$AQ$6:$AQ$104,MATCH(1,('AEA2012'!$D$6:$D$104=$C12)*('AEA2012'!$E$6:$E$104=$D12),0)),"")</f>
        <v>1.2516481278662279</v>
      </c>
      <c r="G12" s="234">
        <f>F12*(1+G$3)^(G$5-F$5)</f>
        <v>1.1608802121365869</v>
      </c>
      <c r="H12" s="234">
        <f t="shared" ref="H12:I12" si="18">G12*(1+H$3)^(H$5-G$5)</f>
        <v>1.0498792550887475</v>
      </c>
      <c r="I12" s="234">
        <f t="shared" si="18"/>
        <v>0.94949197922585915</v>
      </c>
      <c r="J12" s="233">
        <f>1/F12</f>
        <v>0.79894658709294752</v>
      </c>
      <c r="K12" s="233" t="e">
        <f>1/#REF!</f>
        <v>#REF!</v>
      </c>
      <c r="L12" s="233">
        <f t="shared" si="2"/>
        <v>0.86141532050021885</v>
      </c>
      <c r="M12" s="233">
        <f t="shared" si="3"/>
        <v>0.95249048417045723</v>
      </c>
      <c r="N12" s="233">
        <f t="shared" si="4"/>
        <v>1.0531947840310574</v>
      </c>
      <c r="O12" s="342" t="s">
        <v>1107</v>
      </c>
    </row>
    <row r="13" spans="1:15" x14ac:dyDescent="0.25">
      <c r="A13" s="227" t="s">
        <v>934</v>
      </c>
      <c r="B13" s="220" t="e">
        <f>VLOOKUP($A13,ITEMS_Tech_N!$D$6:$E$122,2,FALSE)</f>
        <v>#N/A</v>
      </c>
      <c r="C13" s="220" t="s">
        <v>1110</v>
      </c>
      <c r="D13" s="642" t="s">
        <v>1112</v>
      </c>
      <c r="E13" s="238">
        <f>E7</f>
        <v>4.6346316963807146</v>
      </c>
      <c r="F13" s="648">
        <f t="shared" ref="F13:I13" si="19">E13*(1+F$3)^(F$5-E$5)</f>
        <v>4.5654592389832702</v>
      </c>
      <c r="G13" s="648">
        <f t="shared" si="19"/>
        <v>4.2343779947859925</v>
      </c>
      <c r="H13" s="648">
        <f t="shared" si="19"/>
        <v>3.829495557296176</v>
      </c>
      <c r="I13" s="648">
        <f t="shared" si="19"/>
        <v>3.4633271383445132</v>
      </c>
      <c r="J13" s="233">
        <f t="shared" si="1"/>
        <v>0.21576687545224402</v>
      </c>
      <c r="K13" s="233">
        <f t="shared" ref="K13" si="20">1/F13</f>
        <v>0.219036015361009</v>
      </c>
      <c r="L13" s="233">
        <f t="shared" ref="L13" si="21">1/G13</f>
        <v>0.2361621945965503</v>
      </c>
      <c r="M13" s="233">
        <f t="shared" ref="M13" si="22">1/H13</f>
        <v>0.26113099885825491</v>
      </c>
      <c r="N13" s="233">
        <f t="shared" ref="N13" si="23">1/I13</f>
        <v>0.28873968876009926</v>
      </c>
      <c r="O13" s="342" t="s">
        <v>1161</v>
      </c>
    </row>
    <row r="14" spans="1:15" x14ac:dyDescent="0.25">
      <c r="A14" s="227" t="s">
        <v>936</v>
      </c>
      <c r="B14" s="220" t="str">
        <f>VLOOKUP($A14,ITEMS_Tech_N!$D$6:$E$122,2,FALSE)</f>
        <v>Transport Passenger SUV Priv.Veh. Electricity-N</v>
      </c>
      <c r="C14" s="220" t="s">
        <v>1110</v>
      </c>
      <c r="D14" s="220" t="s">
        <v>1117</v>
      </c>
      <c r="E14" s="392">
        <f>IFERROR(1/INDEX('EFF-E_ANTC'!$D$4:$D$47,MATCH($A14,'EFF-E_ANTC'!$J$4:$J$47,0)),"")</f>
        <v>0.6770480704129993</v>
      </c>
      <c r="F14" s="648">
        <f t="shared" ref="F14:I14" si="24">E14*(1+F$3)^(F$5-E$5)</f>
        <v>0.66694304333107646</v>
      </c>
      <c r="G14" s="648">
        <f t="shared" si="24"/>
        <v>0.61857718985694776</v>
      </c>
      <c r="H14" s="648">
        <f t="shared" si="24"/>
        <v>0.55943012251594149</v>
      </c>
      <c r="I14" s="648">
        <f t="shared" si="24"/>
        <v>0.50593857502339679</v>
      </c>
      <c r="J14" s="233">
        <f t="shared" si="1"/>
        <v>1.4770000000000001</v>
      </c>
      <c r="K14" s="233">
        <f t="shared" ref="K14:K22" si="25">1/F14</f>
        <v>1.4993784101944536</v>
      </c>
      <c r="L14" s="233">
        <f t="shared" ref="L14:L22" si="26">1/G14</f>
        <v>1.6166131186170316</v>
      </c>
      <c r="M14" s="233">
        <f t="shared" ref="M14:M22" si="27">1/H14</f>
        <v>1.7875333482270686</v>
      </c>
      <c r="N14" s="233">
        <f t="shared" ref="N14:N22" si="28">1/I14</f>
        <v>1.9765245216847829</v>
      </c>
      <c r="O14" s="342" t="s">
        <v>1166</v>
      </c>
    </row>
    <row r="15" spans="1:15" x14ac:dyDescent="0.25">
      <c r="A15" s="227" t="s">
        <v>938</v>
      </c>
      <c r="B15" s="220" t="str">
        <f>VLOOKUP($A15,ITEMS_Tech_N!$D$6:$E$122,2,FALSE)</f>
        <v>Transport Passenger Car Priv.Veh. Oil Diesel-N</v>
      </c>
      <c r="C15" s="220" t="s">
        <v>1118</v>
      </c>
      <c r="D15" s="220" t="s">
        <v>1111</v>
      </c>
      <c r="E15" s="392">
        <f>IFERROR(1/INDEX('EFF-E_ANTC'!$D$4:$D$47,MATCH($A15,'EFF-E_ANTC'!$J$4:$J$47,0)),"")</f>
        <v>3.0120320555337368</v>
      </c>
      <c r="F15" s="648">
        <f t="shared" ref="F15:I15" si="29">E15*(1+F$3)^(F$5-E$5)</f>
        <v>2.9670771006008887</v>
      </c>
      <c r="G15" s="648">
        <f t="shared" si="29"/>
        <v>2.7519084775392222</v>
      </c>
      <c r="H15" s="648">
        <f t="shared" si="29"/>
        <v>2.4887766991512414</v>
      </c>
      <c r="I15" s="648">
        <f t="shared" si="29"/>
        <v>2.2508050354119624</v>
      </c>
      <c r="J15" s="233">
        <f t="shared" si="1"/>
        <v>0.332001778720379</v>
      </c>
      <c r="K15" s="233">
        <f t="shared" si="25"/>
        <v>0.33703202380466663</v>
      </c>
      <c r="L15" s="233">
        <f t="shared" si="26"/>
        <v>0.36338417798480266</v>
      </c>
      <c r="M15" s="233">
        <f t="shared" si="27"/>
        <v>0.40180382608895143</v>
      </c>
      <c r="N15" s="233">
        <f t="shared" si="28"/>
        <v>0.4442854819795492</v>
      </c>
      <c r="O15" s="342" t="s">
        <v>1166</v>
      </c>
    </row>
    <row r="16" spans="1:15" x14ac:dyDescent="0.25">
      <c r="A16" s="227" t="s">
        <v>940</v>
      </c>
      <c r="B16" s="220" t="str">
        <f>VLOOKUP($A16,ITEMS_Tech_N!$D$6:$E$122,2,FALSE)</f>
        <v>Transport Passenger Car Priv.Veh. Oil Gasoline-N</v>
      </c>
      <c r="C16" s="220" t="s">
        <v>1118</v>
      </c>
      <c r="D16" s="220" t="s">
        <v>1112</v>
      </c>
      <c r="E16" s="392">
        <f>IFERROR(1/INDEX('EFF-E_ANTC'!$D$4:$D$47,MATCH($A16,'EFF-E_ANTC'!$J$4:$J$47,0)),"")</f>
        <v>2.802205701073782</v>
      </c>
      <c r="F16" s="648">
        <f t="shared" ref="F16:I16" si="30">E16*(1+F$3)^(F$5-E$5)</f>
        <v>2.760382430709543</v>
      </c>
      <c r="G16" s="648">
        <f t="shared" si="30"/>
        <v>2.5602030398136666</v>
      </c>
      <c r="H16" s="648">
        <f t="shared" si="30"/>
        <v>2.3154017375905322</v>
      </c>
      <c r="I16" s="648">
        <f t="shared" si="30"/>
        <v>2.0940078279211165</v>
      </c>
      <c r="J16" s="233">
        <f t="shared" si="1"/>
        <v>0.35686173917097103</v>
      </c>
      <c r="K16" s="233">
        <f t="shared" si="25"/>
        <v>0.36226864396574021</v>
      </c>
      <c r="L16" s="233">
        <f t="shared" si="26"/>
        <v>0.39059402104013624</v>
      </c>
      <c r="M16" s="233">
        <f t="shared" si="27"/>
        <v>0.43189049388924888</v>
      </c>
      <c r="N16" s="233">
        <f t="shared" si="28"/>
        <v>0.47755313359682011</v>
      </c>
      <c r="O16" s="342" t="s">
        <v>1166</v>
      </c>
    </row>
    <row r="17" spans="1:15" x14ac:dyDescent="0.25">
      <c r="A17" s="227" t="s">
        <v>942</v>
      </c>
      <c r="B17" s="220" t="e">
        <f>VLOOKUP($A17,ITEMS_Tech_N!$D$6:$E$122,2,FALSE)</f>
        <v>#N/A</v>
      </c>
      <c r="C17" s="220" t="s">
        <v>1118</v>
      </c>
      <c r="D17" s="220" t="s">
        <v>1113</v>
      </c>
      <c r="E17" s="392">
        <f>IFERROR(1/INDEX('EFF-E_ANTC'!$D$4:$D$47,MATCH($A17,'EFF-E_ANTC'!$J$4:$J$47,0)),"")</f>
        <v>2.258982676408984</v>
      </c>
      <c r="F17" s="648">
        <f t="shared" ref="F17:I17" si="31">E17*(1+F$3)^(F$5-E$5)</f>
        <v>2.2252670775907455</v>
      </c>
      <c r="G17" s="648">
        <f t="shared" si="31"/>
        <v>2.0638935652769965</v>
      </c>
      <c r="H17" s="648">
        <f t="shared" si="31"/>
        <v>1.8665483451625291</v>
      </c>
      <c r="I17" s="648">
        <f t="shared" si="31"/>
        <v>1.6880728655023378</v>
      </c>
      <c r="J17" s="233">
        <f t="shared" si="1"/>
        <v>0.442677144204426</v>
      </c>
      <c r="K17" s="233">
        <f t="shared" si="25"/>
        <v>0.4493842604648971</v>
      </c>
      <c r="L17" s="233">
        <f t="shared" si="26"/>
        <v>0.48452110943317434</v>
      </c>
      <c r="M17" s="233">
        <f t="shared" si="27"/>
        <v>0.53574824493116746</v>
      </c>
      <c r="N17" s="233">
        <f t="shared" si="28"/>
        <v>0.59239148998607905</v>
      </c>
      <c r="O17" s="342" t="s">
        <v>1166</v>
      </c>
    </row>
    <row r="18" spans="1:15" x14ac:dyDescent="0.25">
      <c r="A18" s="227" t="s">
        <v>944</v>
      </c>
      <c r="B18" s="220" t="str">
        <f>VLOOKUP($A18,ITEMS_Tech_N!$D$6:$E$122,2,FALSE)</f>
        <v>Transport Passenger Car Priv.Veh. Oil Gasoline Hybrid-N</v>
      </c>
      <c r="C18" s="220" t="s">
        <v>1118</v>
      </c>
      <c r="D18" s="220" t="s">
        <v>1114</v>
      </c>
      <c r="E18" s="392">
        <f>IFERROR(1/INDEX('EFF-E_ANTC'!$D$4:$D$47,MATCH($A18,'EFF-E_ANTC'!$J$4:$J$47,0)),"")</f>
        <v>2.0561654396533191</v>
      </c>
      <c r="F18" s="648">
        <f t="shared" ref="F18:I18" si="32">E18*(1+F$3)^(F$5-E$5)</f>
        <v>2.0254769134458135</v>
      </c>
      <c r="G18" s="648">
        <f t="shared" si="32"/>
        <v>1.8785919274031291</v>
      </c>
      <c r="H18" s="648">
        <f t="shared" si="32"/>
        <v>1.698964865399631</v>
      </c>
      <c r="I18" s="648">
        <f t="shared" si="32"/>
        <v>1.5365133703371721</v>
      </c>
      <c r="J18" s="233">
        <f t="shared" si="1"/>
        <v>0.48634218857827194</v>
      </c>
      <c r="K18" s="233">
        <f t="shared" si="25"/>
        <v>0.49371088525455686</v>
      </c>
      <c r="L18" s="233">
        <f t="shared" si="26"/>
        <v>0.53231358306875598</v>
      </c>
      <c r="M18" s="233">
        <f t="shared" si="27"/>
        <v>0.58859369040852982</v>
      </c>
      <c r="N18" s="233">
        <f t="shared" si="28"/>
        <v>0.65082414465456961</v>
      </c>
      <c r="O18" s="342" t="s">
        <v>1166</v>
      </c>
    </row>
    <row r="19" spans="1:15" x14ac:dyDescent="0.25">
      <c r="A19" s="227" t="s">
        <v>1329</v>
      </c>
      <c r="B19" s="220" t="str">
        <f>VLOOKUP($A19,ITEMS_Tech_N!$D$6:$E$122,2,FALSE)</f>
        <v>Transport Passenger Car Priv.Veh. Oil Gasoline Plug-in Hybrid-N</v>
      </c>
      <c r="C19" s="220" t="s">
        <v>1118</v>
      </c>
      <c r="D19" s="220" t="s">
        <v>1114</v>
      </c>
      <c r="E19" s="238">
        <f>4.85/7.3*E18</f>
        <v>1.3660825181258354</v>
      </c>
      <c r="F19" s="648">
        <f t="shared" ref="F19" si="33">E19*(1+F$3)^(F$5-E$5)</f>
        <v>1.3456935657824924</v>
      </c>
      <c r="G19" s="648">
        <f t="shared" ref="G19" si="34">F19*(1+G$3)^(G$5-F$5)</f>
        <v>1.2481055956034486</v>
      </c>
      <c r="H19" s="648">
        <f t="shared" ref="H19" si="35">G19*(1+H$3)^(H$5-G$5)</f>
        <v>1.1287643283819464</v>
      </c>
      <c r="I19" s="648">
        <f t="shared" ref="I19" si="36">H19*(1+I$3)^(I$5-H$5)</f>
        <v>1.0208342254979841</v>
      </c>
      <c r="J19" s="233">
        <f t="shared" ref="J19" si="37">1/E19</f>
        <v>0.73202020136523405</v>
      </c>
      <c r="K19" s="233">
        <f t="shared" ref="K19" si="38">1/F19</f>
        <v>0.74311122935221963</v>
      </c>
      <c r="L19" s="233">
        <f t="shared" ref="L19" si="39">1/G19</f>
        <v>0.8012142590519421</v>
      </c>
      <c r="M19" s="233">
        <f t="shared" ref="M19" si="40">1/H19</f>
        <v>0.88592452370768426</v>
      </c>
      <c r="N19" s="233">
        <f t="shared" ref="N19" si="41">1/I19</f>
        <v>0.97959098061409455</v>
      </c>
      <c r="O19" s="342" t="s">
        <v>1166</v>
      </c>
    </row>
    <row r="20" spans="1:15" x14ac:dyDescent="0.25">
      <c r="A20" s="227" t="s">
        <v>946</v>
      </c>
      <c r="B20" s="220" t="str">
        <f>VLOOKUP($A20,ITEMS_Tech_N!$D$6:$E$122,2,FALSE)</f>
        <v>Transport Passenger Car Priv.Veh. Electricity-N</v>
      </c>
      <c r="C20" s="220" t="s">
        <v>1118</v>
      </c>
      <c r="D20" s="220" t="s">
        <v>1117</v>
      </c>
      <c r="E20" s="392">
        <f>IFERROR(1/INDEX('EFF-E_ANTC'!$D$4:$D$47,MATCH($A20,'EFF-E_ANTC'!$J$4:$J$47,0)),"")</f>
        <v>0.62485298940689771</v>
      </c>
      <c r="F20" s="648">
        <f t="shared" ref="F20:I20" si="42">E20*(1+F$3)^(F$5-E$5)</f>
        <v>0.61552698043337606</v>
      </c>
      <c r="G20" s="648">
        <f t="shared" si="42"/>
        <v>0.57088975384754415</v>
      </c>
      <c r="H20" s="648">
        <f t="shared" si="42"/>
        <v>0.51630246018590753</v>
      </c>
      <c r="I20" s="648">
        <f t="shared" si="42"/>
        <v>0.46693469027508161</v>
      </c>
      <c r="J20" s="233">
        <f t="shared" si="1"/>
        <v>1.60037643566239</v>
      </c>
      <c r="K20" s="233">
        <f t="shared" si="25"/>
        <v>1.6246241542424782</v>
      </c>
      <c r="L20" s="233">
        <f t="shared" si="26"/>
        <v>1.751651686267695</v>
      </c>
      <c r="M20" s="233">
        <f t="shared" si="27"/>
        <v>1.9368491865018911</v>
      </c>
      <c r="N20" s="233">
        <f t="shared" si="28"/>
        <v>2.1416271286480724</v>
      </c>
      <c r="O20" s="342" t="s">
        <v>1166</v>
      </c>
    </row>
    <row r="21" spans="1:15" x14ac:dyDescent="0.25">
      <c r="A21" s="227" t="s">
        <v>948</v>
      </c>
      <c r="B21" s="220" t="e">
        <f>VLOOKUP($A21,ITEMS_Tech_N!$D$6:$E$122,2,FALSE)</f>
        <v>#N/A</v>
      </c>
      <c r="C21" s="220" t="s">
        <v>1118</v>
      </c>
      <c r="D21" s="220" t="s">
        <v>1115</v>
      </c>
      <c r="E21" s="392">
        <f>IFERROR(1/INDEX('EFF-E_ANTC'!$D$4:$D$47,MATCH($A21,'EFF-E_ANTC'!$J$4:$J$47,0)),"")</f>
        <v>0.56804817218808878</v>
      </c>
      <c r="F21" s="648">
        <f t="shared" ref="F21:I21" si="43">E21*(1+F$3)^(F$5-E$5)</f>
        <v>0.55956998221216003</v>
      </c>
      <c r="G21" s="648">
        <f t="shared" si="43"/>
        <v>0.51899068531594927</v>
      </c>
      <c r="H21" s="648">
        <f t="shared" si="43"/>
        <v>0.46936587289627957</v>
      </c>
      <c r="I21" s="648">
        <f t="shared" si="43"/>
        <v>0.424486082068256</v>
      </c>
      <c r="J21" s="233">
        <f t="shared" si="1"/>
        <v>1.7604140792286289</v>
      </c>
      <c r="K21" s="233">
        <f t="shared" si="25"/>
        <v>1.787086569666726</v>
      </c>
      <c r="L21" s="233">
        <f t="shared" si="26"/>
        <v>1.9268168548944642</v>
      </c>
      <c r="M21" s="233">
        <f t="shared" si="27"/>
        <v>2.1305341051520803</v>
      </c>
      <c r="N21" s="233">
        <f t="shared" si="28"/>
        <v>2.3557898415128795</v>
      </c>
      <c r="O21" s="342" t="s">
        <v>1166</v>
      </c>
    </row>
    <row r="22" spans="1:15" x14ac:dyDescent="0.25">
      <c r="A22" s="227" t="s">
        <v>950</v>
      </c>
      <c r="B22" s="220" t="str">
        <f>VLOOKUP($A22,ITEMS_Tech_N!$D$6:$E$122,2,FALSE)</f>
        <v>Transport Passenger Car Priv.Veh. Hydrogen Fuel Cell-N</v>
      </c>
      <c r="C22" s="220" t="s">
        <v>1118</v>
      </c>
      <c r="D22" s="220" t="s">
        <v>1116</v>
      </c>
      <c r="E22" s="234">
        <f>F22*(1+F$3)^(E$5-F$5)</f>
        <v>0.95581416917157158</v>
      </c>
      <c r="F22" s="643" cm="1">
        <f t="array" ref="F22">IFERROR(INDEX('AEA2012'!$AQ$6:$AQ$104,MATCH(1,('AEA2012'!$D$6:$D$104=$C22)*('AEA2012'!$E$6:$E$104=$D22),0)),"")</f>
        <v>0.94154852321991489</v>
      </c>
      <c r="G22" s="234">
        <f t="shared" ref="G22:I22" si="44">F22*(1+G$3)^(G$5-F$5)</f>
        <v>0.87326863280319933</v>
      </c>
      <c r="H22" s="234">
        <f t="shared" si="44"/>
        <v>0.78976849817465899</v>
      </c>
      <c r="I22" s="234">
        <f t="shared" si="44"/>
        <v>0.71425247315578522</v>
      </c>
      <c r="J22" s="233">
        <f t="shared" si="1"/>
        <v>1.0462284743766934</v>
      </c>
      <c r="K22" s="233">
        <f t="shared" si="25"/>
        <v>1.0620801534266044</v>
      </c>
      <c r="L22" s="233">
        <f t="shared" si="26"/>
        <v>1.1451230038917029</v>
      </c>
      <c r="M22" s="233">
        <f t="shared" si="27"/>
        <v>1.2661938306114204</v>
      </c>
      <c r="N22" s="233">
        <f t="shared" si="28"/>
        <v>1.4000651556468473</v>
      </c>
      <c r="O22" s="342" t="s">
        <v>1107</v>
      </c>
    </row>
    <row r="23" spans="1:15" x14ac:dyDescent="0.25">
      <c r="A23" s="227" t="s">
        <v>952</v>
      </c>
      <c r="B23" s="220" t="e">
        <f>VLOOKUP($A23,ITEMS_Tech_N!$D$6:$E$122,2,FALSE)</f>
        <v>#N/A</v>
      </c>
      <c r="C23" s="220" t="s">
        <v>1118</v>
      </c>
      <c r="D23" s="642" t="s">
        <v>1112</v>
      </c>
      <c r="E23" s="342">
        <f>E16</f>
        <v>2.802205701073782</v>
      </c>
      <c r="F23" s="648">
        <f t="shared" ref="F23:I23" si="45">E23*(1+F$3)^(F$5-E$5)</f>
        <v>2.760382430709543</v>
      </c>
      <c r="G23" s="648">
        <f t="shared" si="45"/>
        <v>2.5602030398136666</v>
      </c>
      <c r="H23" s="648">
        <f t="shared" si="45"/>
        <v>2.3154017375905322</v>
      </c>
      <c r="I23" s="648">
        <f t="shared" si="45"/>
        <v>2.0940078279211165</v>
      </c>
      <c r="J23" s="233">
        <f t="shared" si="1"/>
        <v>0.35686173917097103</v>
      </c>
      <c r="K23" s="233">
        <f t="shared" ref="K23:K44" si="46">1/F23</f>
        <v>0.36226864396574021</v>
      </c>
      <c r="L23" s="233">
        <f t="shared" ref="L23:L44" si="47">1/G23</f>
        <v>0.39059402104013624</v>
      </c>
      <c r="M23" s="233">
        <f t="shared" ref="M23:M44" si="48">1/H23</f>
        <v>0.43189049388924888</v>
      </c>
      <c r="N23" s="233">
        <f t="shared" ref="N23:N44" si="49">1/I23</f>
        <v>0.47755313359682011</v>
      </c>
      <c r="O23" s="342" t="s">
        <v>1161</v>
      </c>
    </row>
    <row r="24" spans="1:15" x14ac:dyDescent="0.25">
      <c r="A24" s="227" t="s">
        <v>392</v>
      </c>
      <c r="B24" s="220" t="str">
        <f>VLOOKUP($A24,ITEMS_Tech_N!$D$6:$E$122,2,FALSE)</f>
        <v>Transport Passenger Moto Priv.Veh. Oil Gasoline-N</v>
      </c>
      <c r="C24" s="220" t="s">
        <v>1119</v>
      </c>
      <c r="D24" s="220" t="s">
        <v>1112</v>
      </c>
      <c r="E24" s="392">
        <f>IFERROR(1/INDEX('EFF-E_ANTC'!$D$4:$D$47,MATCH($A24,'EFF-E_ANTC'!$J$4:$J$47,0)),"")</f>
        <v>1.7098493444353202</v>
      </c>
      <c r="F24" s="648">
        <f t="shared" ref="F24:I24" si="50">E24*(1+F$3)^(F$5-E$5)</f>
        <v>1.6843296292384551</v>
      </c>
      <c r="G24" s="648">
        <f t="shared" si="50"/>
        <v>1.5621842063804479</v>
      </c>
      <c r="H24" s="648">
        <f t="shared" si="50"/>
        <v>1.4128113941123317</v>
      </c>
      <c r="I24" s="648">
        <f t="shared" si="50"/>
        <v>1.277721300203392</v>
      </c>
      <c r="J24" s="233">
        <f t="shared" si="1"/>
        <v>0.58484684820594601</v>
      </c>
      <c r="K24" s="233">
        <f t="shared" si="46"/>
        <v>0.59370801453640365</v>
      </c>
      <c r="L24" s="233">
        <f t="shared" si="47"/>
        <v>0.64012937521432356</v>
      </c>
      <c r="M24" s="233">
        <f t="shared" si="48"/>
        <v>0.7078085611195819</v>
      </c>
      <c r="N24" s="233">
        <f t="shared" si="49"/>
        <v>0.7826432883609411</v>
      </c>
      <c r="O24" s="342" t="s">
        <v>1166</v>
      </c>
    </row>
    <row r="25" spans="1:15" x14ac:dyDescent="0.25">
      <c r="A25" s="227" t="s">
        <v>955</v>
      </c>
      <c r="B25" s="220" t="str">
        <f>VLOOKUP($A25,ITEMS_Tech_N!$D$6:$E$122,2,FALSE)</f>
        <v>Transport Passenger Moto Priv.Veh. Electricity-N</v>
      </c>
      <c r="C25" s="220" t="s">
        <v>1119</v>
      </c>
      <c r="D25" s="220" t="s">
        <v>1117</v>
      </c>
      <c r="E25" s="234">
        <f>F25*(1+F$3)^(E$5-F$5)</f>
        <v>0.33908235311786611</v>
      </c>
      <c r="F25" s="643" cm="1">
        <f t="array" ref="F25">IFERROR(INDEX('AEA2012'!$AQ$6:$AQ$104,MATCH(1,('AEA2012'!$D$6:$D$104=$C25)*('AEA2012'!$E$6:$E$104=$D25),0)),"")</f>
        <v>0.33402150661228786</v>
      </c>
      <c r="G25" s="234">
        <f t="shared" ref="G25:I25" si="51">F25*(1+G$3)^(G$5-F$5)</f>
        <v>0.30979869567279655</v>
      </c>
      <c r="H25" s="234">
        <f t="shared" si="51"/>
        <v>0.28017638722758481</v>
      </c>
      <c r="I25" s="234">
        <f t="shared" si="51"/>
        <v>0.2533865024493534</v>
      </c>
      <c r="J25" s="233">
        <f t="shared" si="1"/>
        <v>2.9491360750714053</v>
      </c>
      <c r="K25" s="233">
        <f t="shared" si="46"/>
        <v>2.9938192008718172</v>
      </c>
      <c r="L25" s="233">
        <f t="shared" si="47"/>
        <v>3.2279025508105459</v>
      </c>
      <c r="M25" s="233">
        <f t="shared" si="48"/>
        <v>3.569180150744498</v>
      </c>
      <c r="N25" s="233">
        <f t="shared" si="49"/>
        <v>3.9465401287500659</v>
      </c>
      <c r="O25" s="342" t="s">
        <v>1107</v>
      </c>
    </row>
    <row r="26" spans="1:15" x14ac:dyDescent="0.25">
      <c r="A26" s="227" t="s">
        <v>957</v>
      </c>
      <c r="B26" s="220" t="str">
        <f>VLOOKUP($A26,ITEMS_Tech_N!$D$6:$E$122,2,FALSE)</f>
        <v>Transport Passenger Bus Oil Diesel-N</v>
      </c>
      <c r="C26" s="220" t="s">
        <v>139</v>
      </c>
      <c r="D26" s="220" t="s">
        <v>1111</v>
      </c>
      <c r="E26" s="392">
        <f>IFERROR(1/INDEX('EFF-E_ANTC'!$D$4:$D$47,MATCH($A26,'EFF-E_ANTC'!$J$4:$J$47,0)),"")</f>
        <v>15.540416584459544</v>
      </c>
      <c r="F26" s="648">
        <f t="shared" ref="F26:I26" si="52">E26*(1+F$3)^(F$5-E$5)</f>
        <v>15.308473924384414</v>
      </c>
      <c r="G26" s="648">
        <f t="shared" si="52"/>
        <v>14.198323043971449</v>
      </c>
      <c r="H26" s="648">
        <f t="shared" si="52"/>
        <v>12.840708856152222</v>
      </c>
      <c r="I26" s="648">
        <f t="shared" si="52"/>
        <v>11.612906919910877</v>
      </c>
      <c r="J26" s="233">
        <f t="shared" si="1"/>
        <v>6.4348339348895098E-2</v>
      </c>
      <c r="K26" s="233">
        <f t="shared" si="46"/>
        <v>6.5323297732971908E-2</v>
      </c>
      <c r="L26" s="233">
        <f t="shared" si="47"/>
        <v>7.043085277768743E-2</v>
      </c>
      <c r="M26" s="233">
        <f t="shared" si="48"/>
        <v>7.7877320574937056E-2</v>
      </c>
      <c r="N26" s="233">
        <f t="shared" si="49"/>
        <v>8.6111083718879447E-2</v>
      </c>
      <c r="O26" s="342" t="s">
        <v>1166</v>
      </c>
    </row>
    <row r="27" spans="1:15" x14ac:dyDescent="0.25">
      <c r="A27" s="227" t="s">
        <v>959</v>
      </c>
      <c r="B27" s="220" t="e">
        <f>VLOOKUP($A27,ITEMS_Tech_N!$D$6:$E$122,2,FALSE)</f>
        <v>#N/A</v>
      </c>
      <c r="C27" s="220" t="s">
        <v>139</v>
      </c>
      <c r="D27" s="220" t="s">
        <v>1115</v>
      </c>
      <c r="E27" s="392">
        <f>IFERROR(1/INDEX('EFF-E_ANTC'!$D$4:$D$47,MATCH($A27,'EFF-E_ANTC'!$J$4:$J$47,0)),"")</f>
        <v>16.273068586504088</v>
      </c>
      <c r="F27" s="648">
        <f t="shared" ref="F27:I27" si="53">E27*(1+F$3)^(F$5-E$5)</f>
        <v>16.03019100371694</v>
      </c>
      <c r="G27" s="648">
        <f t="shared" si="53"/>
        <v>14.86770212704206</v>
      </c>
      <c r="H27" s="648">
        <f t="shared" si="53"/>
        <v>13.446083300267112</v>
      </c>
      <c r="I27" s="648">
        <f t="shared" si="53"/>
        <v>12.160396715836802</v>
      </c>
      <c r="J27" s="233">
        <f t="shared" si="1"/>
        <v>6.1451225052252305E-2</v>
      </c>
      <c r="K27" s="233">
        <f t="shared" si="46"/>
        <v>6.2382288505990278E-2</v>
      </c>
      <c r="L27" s="233">
        <f t="shared" si="47"/>
        <v>6.7259889353120286E-2</v>
      </c>
      <c r="M27" s="233">
        <f t="shared" si="48"/>
        <v>7.4371099573668012E-2</v>
      </c>
      <c r="N27" s="233">
        <f t="shared" si="49"/>
        <v>8.2234159243972191E-2</v>
      </c>
      <c r="O27" s="342" t="s">
        <v>1166</v>
      </c>
    </row>
    <row r="28" spans="1:15" x14ac:dyDescent="0.25">
      <c r="A28" s="227" t="s">
        <v>961</v>
      </c>
      <c r="B28" s="220" t="str">
        <f>VLOOKUP($A28,ITEMS_Tech_N!$D$6:$E$122,2,FALSE)</f>
        <v>Transport Passenger Bus Hydrogen Fuel Cell-N</v>
      </c>
      <c r="C28" s="220" t="s">
        <v>139</v>
      </c>
      <c r="D28" s="220" t="s">
        <v>1116</v>
      </c>
      <c r="E28" s="234">
        <f>F28*(1+F$3)^(E$5-F$5)</f>
        <v>6.2911160617879132</v>
      </c>
      <c r="F28" s="643" cm="1">
        <f t="array" ref="F28">IFERROR(INDEX('AEA2012'!$AQ$6:$AQ$104,MATCH(1,('AEA2012'!$D$6:$D$104=$C28)*('AEA2012'!$E$6:$E$104=$D28),0)),"")</f>
        <v>6.1972203681762217</v>
      </c>
      <c r="G28" s="234">
        <f t="shared" ref="G28:I28" si="54">F28*(1+G$3)^(G$5-F$5)</f>
        <v>5.7478059012720273</v>
      </c>
      <c r="H28" s="234">
        <f t="shared" si="54"/>
        <v>5.1982126277402463</v>
      </c>
      <c r="I28" s="234">
        <f t="shared" si="54"/>
        <v>4.7011703226126933</v>
      </c>
      <c r="J28" s="233">
        <f t="shared" si="1"/>
        <v>0.15895430797628674</v>
      </c>
      <c r="K28" s="233">
        <f t="shared" si="46"/>
        <v>0.16136266593571041</v>
      </c>
      <c r="L28" s="233">
        <f t="shared" si="47"/>
        <v>0.17397943096489973</v>
      </c>
      <c r="M28" s="233">
        <f t="shared" si="48"/>
        <v>0.19237381608122434</v>
      </c>
      <c r="N28" s="233">
        <f t="shared" si="49"/>
        <v>0.21271299088867007</v>
      </c>
      <c r="O28" s="342" t="s">
        <v>1107</v>
      </c>
    </row>
    <row r="29" spans="1:15" x14ac:dyDescent="0.25">
      <c r="A29" s="227" t="s">
        <v>963</v>
      </c>
      <c r="B29" s="220" t="e">
        <f>VLOOKUP($A29,ITEMS_Tech_N!$D$6:$E$122,2,FALSE)</f>
        <v>#N/A</v>
      </c>
      <c r="C29" s="220" t="s">
        <v>139</v>
      </c>
      <c r="D29" s="642" t="s">
        <v>1111</v>
      </c>
      <c r="E29" s="238">
        <f>E26</f>
        <v>15.540416584459544</v>
      </c>
      <c r="F29" s="648">
        <f t="shared" ref="F29:I29" si="55">E29*(1+F$3)^(F$5-E$5)</f>
        <v>15.308473924384414</v>
      </c>
      <c r="G29" s="648">
        <f t="shared" si="55"/>
        <v>14.198323043971449</v>
      </c>
      <c r="H29" s="648">
        <f t="shared" si="55"/>
        <v>12.840708856152222</v>
      </c>
      <c r="I29" s="648">
        <f t="shared" si="55"/>
        <v>11.612906919910877</v>
      </c>
      <c r="J29" s="233">
        <f t="shared" si="1"/>
        <v>6.4348339348895098E-2</v>
      </c>
      <c r="K29" s="233">
        <f t="shared" si="46"/>
        <v>6.5323297732971908E-2</v>
      </c>
      <c r="L29" s="233">
        <f t="shared" si="47"/>
        <v>7.043085277768743E-2</v>
      </c>
      <c r="M29" s="233">
        <f t="shared" si="48"/>
        <v>7.7877320574937056E-2</v>
      </c>
      <c r="N29" s="233">
        <f t="shared" si="49"/>
        <v>8.6111083718879447E-2</v>
      </c>
      <c r="O29" s="342" t="s">
        <v>1162</v>
      </c>
    </row>
    <row r="30" spans="1:15" x14ac:dyDescent="0.25">
      <c r="A30" s="227" t="s">
        <v>965</v>
      </c>
      <c r="B30" s="220" t="str">
        <f>VLOOKUP($A30,ITEMS_Tech_N!$D$6:$E$122,2,FALSE)</f>
        <v>Transport Passenger Bus Electricity-N</v>
      </c>
      <c r="C30" s="734" t="s">
        <v>139</v>
      </c>
      <c r="D30" s="734" t="s">
        <v>1117</v>
      </c>
      <c r="E30" s="734">
        <f>F30*(1+F$3)^(E$5-F$5)</f>
        <v>4.0199989873866189</v>
      </c>
      <c r="F30" s="735">
        <f>1.1*3.6</f>
        <v>3.9600000000000004</v>
      </c>
      <c r="G30" s="734">
        <f t="shared" ref="G30:I30" si="56">F30*(1+G$3)^(G$5-F$5)</f>
        <v>3.6728258827006419</v>
      </c>
      <c r="H30" s="734">
        <f t="shared" si="56"/>
        <v>3.3216378929428498</v>
      </c>
      <c r="I30" s="734">
        <f t="shared" si="56"/>
        <v>3.0040297700475271</v>
      </c>
      <c r="J30" s="736">
        <f t="shared" si="1"/>
        <v>0.24875628156565655</v>
      </c>
      <c r="K30" s="736">
        <f t="shared" si="46"/>
        <v>0.25252525252525249</v>
      </c>
      <c r="L30" s="736">
        <f t="shared" si="47"/>
        <v>0.2722699174796428</v>
      </c>
      <c r="M30" s="736">
        <f t="shared" si="48"/>
        <v>0.30105629578847215</v>
      </c>
      <c r="N30" s="736">
        <f t="shared" si="49"/>
        <v>0.33288618174518919</v>
      </c>
      <c r="O30" s="736" t="s">
        <v>1334</v>
      </c>
    </row>
    <row r="31" spans="1:15" x14ac:dyDescent="0.25">
      <c r="A31" s="227" t="s">
        <v>967</v>
      </c>
      <c r="B31" s="220" t="str">
        <f>VLOOKUP($A31,ITEMS_Tech_N!$D$6:$E$122,2,FALSE)</f>
        <v>Transport Passenger Minibus Oil Diesel-N</v>
      </c>
      <c r="C31" s="220" t="s">
        <v>1110</v>
      </c>
      <c r="D31" s="220" t="s">
        <v>1111</v>
      </c>
      <c r="E31" s="392">
        <f>IFERROR(1/INDEX('EFF-E_ANTC'!$D$4:$D$47,MATCH($A31,'EFF-E_ANTC'!$J$4:$J$47,0)),"")</f>
        <v>4.2205316616343254</v>
      </c>
      <c r="F31" s="648">
        <f t="shared" ref="F31:I31" si="57">E31*(1+F$3)^(F$5-E$5)</f>
        <v>4.1575396990179758</v>
      </c>
      <c r="G31" s="648">
        <f t="shared" si="57"/>
        <v>3.8560402562900649</v>
      </c>
      <c r="H31" s="648">
        <f t="shared" si="57"/>
        <v>3.4873336883010904</v>
      </c>
      <c r="I31" s="648">
        <f t="shared" si="57"/>
        <v>3.1538820772738467</v>
      </c>
      <c r="J31" s="233">
        <f t="shared" si="1"/>
        <v>0.23693697386285403</v>
      </c>
      <c r="K31" s="233">
        <f t="shared" si="46"/>
        <v>0.24052686742503102</v>
      </c>
      <c r="L31" s="233">
        <f t="shared" si="47"/>
        <v>0.25933339216798273</v>
      </c>
      <c r="M31" s="233">
        <f t="shared" si="48"/>
        <v>0.28675202586855569</v>
      </c>
      <c r="N31" s="233">
        <f t="shared" si="49"/>
        <v>0.31706955919682966</v>
      </c>
      <c r="O31" s="342" t="s">
        <v>1166</v>
      </c>
    </row>
    <row r="32" spans="1:15" x14ac:dyDescent="0.25">
      <c r="A32" s="227" t="s">
        <v>969</v>
      </c>
      <c r="B32" s="220" t="str">
        <f>VLOOKUP($A32,ITEMS_Tech_N!$D$6:$E$122,2,FALSE)</f>
        <v>Transport Passenger Minibus Oil Gasoline-N</v>
      </c>
      <c r="C32" s="220" t="s">
        <v>1110</v>
      </c>
      <c r="D32" s="220" t="s">
        <v>1112</v>
      </c>
      <c r="E32" s="392">
        <f>IFERROR(1/INDEX('EFF-E_ANTC'!$D$4:$D$47,MATCH($A32,'EFF-E_ANTC'!$J$4:$J$47,0)),"")</f>
        <v>4.9810534104362922</v>
      </c>
      <c r="F32" s="648">
        <f t="shared" ref="F32:I32" si="58">E32*(1+F$3)^(F$5-E$5)</f>
        <v>4.9067105656538548</v>
      </c>
      <c r="G32" s="648">
        <f t="shared" si="58"/>
        <v>4.5508822132460063</v>
      </c>
      <c r="H32" s="648">
        <f t="shared" si="58"/>
        <v>4.1157362991360831</v>
      </c>
      <c r="I32" s="648">
        <f t="shared" si="58"/>
        <v>3.7221981344017476</v>
      </c>
      <c r="J32" s="233">
        <f t="shared" si="1"/>
        <v>0.20076074629210003</v>
      </c>
      <c r="K32" s="233">
        <f t="shared" si="46"/>
        <v>0.2038025244447535</v>
      </c>
      <c r="L32" s="233">
        <f t="shared" si="47"/>
        <v>0.21973761419035504</v>
      </c>
      <c r="M32" s="233">
        <f t="shared" si="48"/>
        <v>0.24296989100344107</v>
      </c>
      <c r="N32" s="233">
        <f t="shared" si="49"/>
        <v>0.26865845500208052</v>
      </c>
      <c r="O32" s="342" t="s">
        <v>1166</v>
      </c>
    </row>
    <row r="33" spans="1:15" x14ac:dyDescent="0.25">
      <c r="A33" s="227" t="s">
        <v>971</v>
      </c>
      <c r="B33" s="220" t="e">
        <f>VLOOKUP($A33,ITEMS_Tech_N!$D$6:$E$122,2,FALSE)</f>
        <v>#N/A</v>
      </c>
      <c r="C33" s="220" t="s">
        <v>1110</v>
      </c>
      <c r="D33" s="220" t="s">
        <v>1113</v>
      </c>
      <c r="E33" s="234">
        <f>F33*(1+F$3)^(E$5-F$5)</f>
        <v>2.1942094210214687</v>
      </c>
      <c r="F33" s="643" cm="1">
        <f t="array" ref="F33">IFERROR(INDEX('AEA2012'!$AQ$6:$AQ$104,MATCH(1,('AEA2012'!$D$6:$D$104=$C33)*('AEA2012'!$E$6:$E$104=$D33),0)),"")</f>
        <v>2.161460571136546</v>
      </c>
      <c r="G33" s="234">
        <f t="shared" ref="G33:I33" si="59">F33*(1+G$3)^(G$5-F$5)</f>
        <v>2.00471422477455</v>
      </c>
      <c r="H33" s="234">
        <f t="shared" si="59"/>
        <v>1.8130276104012739</v>
      </c>
      <c r="I33" s="234">
        <f t="shared" si="59"/>
        <v>1.639669672342958</v>
      </c>
      <c r="J33" s="233">
        <f t="shared" si="1"/>
        <v>0.45574501249496541</v>
      </c>
      <c r="K33" s="233">
        <f t="shared" si="46"/>
        <v>0.46265012341824807</v>
      </c>
      <c r="L33" s="233">
        <f t="shared" si="47"/>
        <v>0.49882421526313053</v>
      </c>
      <c r="M33" s="233">
        <f t="shared" si="48"/>
        <v>0.5515635803134139</v>
      </c>
      <c r="N33" s="233">
        <f t="shared" si="49"/>
        <v>0.60987893895181899</v>
      </c>
      <c r="O33" s="342" t="s">
        <v>1107</v>
      </c>
    </row>
    <row r="34" spans="1:15" x14ac:dyDescent="0.25">
      <c r="A34" s="227" t="s">
        <v>973</v>
      </c>
      <c r="B34" s="220" t="e">
        <f>VLOOKUP($A34,ITEMS_Tech_N!$D$6:$E$122,2,FALSE)</f>
        <v>#N/A</v>
      </c>
      <c r="C34" s="220" t="s">
        <v>1110</v>
      </c>
      <c r="D34" s="220" t="s">
        <v>1115</v>
      </c>
      <c r="E34" s="392">
        <f>IFERROR(1/INDEX('EFF-E_ANTC'!$D$4:$D$47,MATCH($A34,'EFF-E_ANTC'!$J$4:$J$47,0)),"")</f>
        <v>4.7181036554001832</v>
      </c>
      <c r="F34" s="648">
        <f t="shared" ref="F34:I34" si="60">E34*(1+F$3)^(F$5-E$5)</f>
        <v>4.6476853685803787</v>
      </c>
      <c r="G34" s="648">
        <f t="shared" si="60"/>
        <v>4.3106411910027997</v>
      </c>
      <c r="H34" s="648">
        <f t="shared" si="60"/>
        <v>3.8984666249375355</v>
      </c>
      <c r="I34" s="648">
        <f t="shared" si="60"/>
        <v>3.5257033356135783</v>
      </c>
      <c r="J34" s="233">
        <f t="shared" si="1"/>
        <v>0.2119495613148375</v>
      </c>
      <c r="K34" s="233">
        <f t="shared" si="46"/>
        <v>0.21516086410673857</v>
      </c>
      <c r="L34" s="233">
        <f t="shared" si="47"/>
        <v>0.23198404963215377</v>
      </c>
      <c r="M34" s="233">
        <f t="shared" si="48"/>
        <v>0.25651110967662133</v>
      </c>
      <c r="N34" s="233">
        <f t="shared" si="49"/>
        <v>0.28363135091341141</v>
      </c>
      <c r="O34" s="342" t="s">
        <v>1166</v>
      </c>
    </row>
    <row r="35" spans="1:15" x14ac:dyDescent="0.25">
      <c r="A35" s="227" t="s">
        <v>975</v>
      </c>
      <c r="B35" s="220" t="str">
        <f>VLOOKUP($A35,ITEMS_Tech_N!$D$6:$E$122,2,FALSE)</f>
        <v>Transport Passenger Minibus Hydrogen Fuel Cell-N</v>
      </c>
      <c r="C35" s="220" t="s">
        <v>1110</v>
      </c>
      <c r="D35" s="220" t="s">
        <v>1116</v>
      </c>
      <c r="E35" s="234">
        <f>F35*(1+F$3)^(E$5-F$5)</f>
        <v>1.2706121733804527</v>
      </c>
      <c r="F35" s="643" cm="1">
        <f t="array" ref="F35">IFERROR(INDEX('AEA2012'!$AQ$6:$AQ$104,MATCH(1,('AEA2012'!$D$6:$D$104=$C35)*('AEA2012'!$E$6:$E$104=$D35),0)),"")</f>
        <v>1.2516481278662279</v>
      </c>
      <c r="G35" s="234">
        <f t="shared" ref="G35:I35" si="61">F35*(1+G$3)^(G$5-F$5)</f>
        <v>1.1608802121365869</v>
      </c>
      <c r="H35" s="234">
        <f t="shared" si="61"/>
        <v>1.0498792550887475</v>
      </c>
      <c r="I35" s="234">
        <f t="shared" si="61"/>
        <v>0.94949197922585915</v>
      </c>
      <c r="J35" s="233">
        <f t="shared" si="1"/>
        <v>0.78702220941226197</v>
      </c>
      <c r="K35" s="233">
        <f t="shared" si="46"/>
        <v>0.79894658709294752</v>
      </c>
      <c r="L35" s="233">
        <f t="shared" si="47"/>
        <v>0.86141532050021885</v>
      </c>
      <c r="M35" s="233">
        <f t="shared" si="48"/>
        <v>0.95249048417045723</v>
      </c>
      <c r="N35" s="233">
        <f t="shared" si="49"/>
        <v>1.0531947840310574</v>
      </c>
      <c r="O35" s="342" t="s">
        <v>1107</v>
      </c>
    </row>
    <row r="36" spans="1:15" x14ac:dyDescent="0.25">
      <c r="A36" s="227" t="s">
        <v>977</v>
      </c>
      <c r="B36" s="220" t="e">
        <f>VLOOKUP($A36,ITEMS_Tech_N!$D$6:$E$122,2,FALSE)</f>
        <v>#N/A</v>
      </c>
      <c r="C36" s="220" t="s">
        <v>1110</v>
      </c>
      <c r="D36" s="642" t="s">
        <v>1112</v>
      </c>
      <c r="E36" s="238">
        <f>E32</f>
        <v>4.9810534104362922</v>
      </c>
      <c r="F36" s="648">
        <f t="shared" ref="F36:I36" si="62">E36*(1+F$3)^(F$5-E$5)</f>
        <v>4.9067105656538548</v>
      </c>
      <c r="G36" s="648">
        <f t="shared" si="62"/>
        <v>4.5508822132460063</v>
      </c>
      <c r="H36" s="648">
        <f t="shared" si="62"/>
        <v>4.1157362991360831</v>
      </c>
      <c r="I36" s="648">
        <f t="shared" si="62"/>
        <v>3.7221981344017476</v>
      </c>
      <c r="J36" s="233">
        <f t="shared" si="1"/>
        <v>0.20076074629210003</v>
      </c>
      <c r="K36" s="233">
        <f t="shared" si="46"/>
        <v>0.2038025244447535</v>
      </c>
      <c r="L36" s="233">
        <f t="shared" si="47"/>
        <v>0.21973761419035504</v>
      </c>
      <c r="M36" s="233">
        <f t="shared" si="48"/>
        <v>0.24296989100344107</v>
      </c>
      <c r="N36" s="233">
        <f t="shared" si="49"/>
        <v>0.26865845500208052</v>
      </c>
      <c r="O36" s="342" t="s">
        <v>1161</v>
      </c>
    </row>
    <row r="37" spans="1:15" x14ac:dyDescent="0.25">
      <c r="A37" s="227" t="s">
        <v>979</v>
      </c>
      <c r="B37" s="220" t="str">
        <f>VLOOKUP($A37,ITEMS_Tech_N!$D$6:$E$122,2,FALSE)</f>
        <v>Transport Passenger Minibus Electricity-N</v>
      </c>
      <c r="C37" s="220" t="s">
        <v>1110</v>
      </c>
      <c r="D37" s="220" t="s">
        <v>1117</v>
      </c>
      <c r="E37" s="234">
        <f t="shared" ref="E37:E42" si="63">F37*(1+F$3)^(E$5-F$5)</f>
        <v>0.66743709933495587</v>
      </c>
      <c r="F37" s="643" cm="1">
        <f t="array" ref="F37">IFERROR(INDEX('AEA2012'!$AQ$6:$AQ$104,MATCH(1,('AEA2012'!$D$6:$D$104=$C37)*('AEA2012'!$E$6:$E$104=$D37),0)),"")</f>
        <v>0.65747551719774433</v>
      </c>
      <c r="G37" s="234">
        <f t="shared" ref="G37:I37" si="64">F37*(1+G$3)^(G$5-F$5)</f>
        <v>0.60979623656713788</v>
      </c>
      <c r="H37" s="234">
        <f t="shared" si="64"/>
        <v>0.55148878575914784</v>
      </c>
      <c r="I37" s="234">
        <f t="shared" si="64"/>
        <v>0.49875657240894405</v>
      </c>
      <c r="J37" s="233">
        <f t="shared" si="1"/>
        <v>1.4982685274708503</v>
      </c>
      <c r="K37" s="233">
        <f t="shared" si="46"/>
        <v>1.5209691826429439</v>
      </c>
      <c r="L37" s="233">
        <f t="shared" si="47"/>
        <v>1.6398920492352056</v>
      </c>
      <c r="M37" s="233">
        <f t="shared" si="48"/>
        <v>1.8132734986142236</v>
      </c>
      <c r="N37" s="233">
        <f t="shared" si="49"/>
        <v>2.0049861100979594</v>
      </c>
      <c r="O37" s="342" t="s">
        <v>1107</v>
      </c>
    </row>
    <row r="38" spans="1:15" x14ac:dyDescent="0.25">
      <c r="A38" s="227" t="s">
        <v>394</v>
      </c>
      <c r="B38" s="220" t="str">
        <f>VLOOKUP($A38,ITEMS_Tech_N!$D$6:$E$122,2,FALSE)</f>
        <v>Transport Passenger BRT Oil Diesel-N</v>
      </c>
      <c r="C38" s="220" t="s">
        <v>139</v>
      </c>
      <c r="D38" s="220" t="s">
        <v>1111</v>
      </c>
      <c r="E38" s="234">
        <f t="shared" si="63"/>
        <v>13.391674355242717</v>
      </c>
      <c r="F38" s="643" cm="1">
        <f t="array" ref="F38">IFERROR(INDEX('AEA2012'!$AQ$6:$AQ$104,MATCH(1,('AEA2012'!$D$6:$D$104=$C38)*('AEA2012'!$E$6:$E$104=$D38),0)),"")</f>
        <v>13.191801941531427</v>
      </c>
      <c r="G38" s="234">
        <f t="shared" ref="G38:I38" si="65">F38*(1+G$3)^(G$5-F$5)</f>
        <v>12.235149396544747</v>
      </c>
      <c r="H38" s="234">
        <f t="shared" si="65"/>
        <v>11.065249799289859</v>
      </c>
      <c r="I38" s="234">
        <f t="shared" si="65"/>
        <v>10.007213573972518</v>
      </c>
      <c r="J38" s="233">
        <f t="shared" si="1"/>
        <v>7.4673261421452447E-2</v>
      </c>
      <c r="K38" s="233">
        <f t="shared" si="46"/>
        <v>7.5804655378559349E-2</v>
      </c>
      <c r="L38" s="233">
        <f t="shared" si="47"/>
        <v>8.1731735967392749E-2</v>
      </c>
      <c r="M38" s="233">
        <f t="shared" si="48"/>
        <v>9.0373016257091418E-2</v>
      </c>
      <c r="N38" s="233">
        <f t="shared" si="49"/>
        <v>9.9927916258415031E-2</v>
      </c>
      <c r="O38" s="342" t="s">
        <v>1107</v>
      </c>
    </row>
    <row r="39" spans="1:15" x14ac:dyDescent="0.25">
      <c r="A39" s="227" t="s">
        <v>982</v>
      </c>
      <c r="B39" s="220" t="e">
        <f>VLOOKUP($A39,ITEMS_Tech_N!$D$6:$E$122,2,FALSE)</f>
        <v>#N/A</v>
      </c>
      <c r="C39" s="220" t="s">
        <v>139</v>
      </c>
      <c r="D39" s="220" t="s">
        <v>1115</v>
      </c>
      <c r="E39" s="234">
        <f t="shared" si="63"/>
        <v>15.400425508529127</v>
      </c>
      <c r="F39" s="643" cm="1">
        <f t="array" ref="F39">IFERROR(INDEX('AEA2012'!$AQ$6:$AQ$104,MATCH(1,('AEA2012'!$D$6:$D$104=$C39)*('AEA2012'!$E$6:$E$104=$D39),0)),"")</f>
        <v>15.170572232761142</v>
      </c>
      <c r="G39" s="234">
        <f t="shared" ref="G39:I39" si="66">F39*(1+G$3)^(G$5-F$5)</f>
        <v>14.070421806026461</v>
      </c>
      <c r="H39" s="234">
        <f t="shared" si="66"/>
        <v>12.725037269183339</v>
      </c>
      <c r="I39" s="234">
        <f t="shared" si="66"/>
        <v>11.508295610068396</v>
      </c>
      <c r="J39" s="233">
        <f t="shared" si="1"/>
        <v>6.4933270801262988E-2</v>
      </c>
      <c r="K39" s="233">
        <f t="shared" si="46"/>
        <v>6.5917091633529865E-2</v>
      </c>
      <c r="L39" s="233">
        <f t="shared" si="47"/>
        <v>7.107107475425456E-2</v>
      </c>
      <c r="M39" s="233">
        <f t="shared" si="48"/>
        <v>7.8585231527905572E-2</v>
      </c>
      <c r="N39" s="233">
        <f t="shared" si="49"/>
        <v>8.6893840224708724E-2</v>
      </c>
      <c r="O39" s="342" t="s">
        <v>1107</v>
      </c>
    </row>
    <row r="40" spans="1:15" x14ac:dyDescent="0.25">
      <c r="A40" s="227" t="s">
        <v>984</v>
      </c>
      <c r="B40" s="220" t="str">
        <f>VLOOKUP($A40,ITEMS_Tech_N!$D$6:$E$122,2,FALSE)</f>
        <v>Transport Passenger BRT Electricity-N</v>
      </c>
      <c r="C40" s="220" t="s">
        <v>139</v>
      </c>
      <c r="D40" s="220" t="s">
        <v>1117</v>
      </c>
      <c r="E40" s="234">
        <f t="shared" si="63"/>
        <v>4.2145748138012449</v>
      </c>
      <c r="F40" s="643" cm="1">
        <f t="array" ref="F40">IFERROR(INDEX('AEA2012'!$AQ$6:$AQ$104,MATCH(1,('AEA2012'!$D$6:$D$104=$C40)*('AEA2012'!$E$6:$E$104=$D40),0)),"")</f>
        <v>4.1516717578834097</v>
      </c>
      <c r="G40" s="234">
        <f t="shared" ref="G40:I40" si="67">F40*(1+G$3)^(G$5-F$5)</f>
        <v>3.8505978507150149</v>
      </c>
      <c r="H40" s="234">
        <f t="shared" si="67"/>
        <v>3.4824116742540872</v>
      </c>
      <c r="I40" s="234">
        <f t="shared" si="67"/>
        <v>3.1494306959967955</v>
      </c>
      <c r="J40" s="233">
        <f t="shared" si="1"/>
        <v>0.23727185877098514</v>
      </c>
      <c r="K40" s="233">
        <f t="shared" si="46"/>
        <v>0.24086682626128814</v>
      </c>
      <c r="L40" s="233">
        <f t="shared" si="47"/>
        <v>0.25969993200258779</v>
      </c>
      <c r="M40" s="233">
        <f t="shared" si="48"/>
        <v>0.28715731899049368</v>
      </c>
      <c r="N40" s="233">
        <f t="shared" si="49"/>
        <v>0.31751770288868025</v>
      </c>
      <c r="O40" s="342" t="s">
        <v>1107</v>
      </c>
    </row>
    <row r="41" spans="1:15" x14ac:dyDescent="0.25">
      <c r="A41" s="227" t="s">
        <v>986</v>
      </c>
      <c r="B41" s="220" t="str">
        <f>VLOOKUP($A41,ITEMS_Tech_N!$D$6:$E$122,2,FALSE)</f>
        <v>Transport Passenger BRT Hydrogen-N</v>
      </c>
      <c r="C41" s="220" t="s">
        <v>139</v>
      </c>
      <c r="D41" s="220" t="s">
        <v>1116</v>
      </c>
      <c r="E41" s="234">
        <f t="shared" si="63"/>
        <v>6.2911160617879132</v>
      </c>
      <c r="F41" s="643" cm="1">
        <f t="array" ref="F41">IFERROR(INDEX('AEA2012'!$AQ$6:$AQ$104,MATCH(1,('AEA2012'!$D$6:$D$104=$C41)*('AEA2012'!$E$6:$E$104=$D41),0)),"")</f>
        <v>6.1972203681762217</v>
      </c>
      <c r="G41" s="234">
        <f t="shared" ref="G41:I41" si="68">F41*(1+G$3)^(G$5-F$5)</f>
        <v>5.7478059012720273</v>
      </c>
      <c r="H41" s="234">
        <f t="shared" si="68"/>
        <v>5.1982126277402463</v>
      </c>
      <c r="I41" s="234">
        <f t="shared" si="68"/>
        <v>4.7011703226126933</v>
      </c>
      <c r="J41" s="233">
        <f t="shared" si="1"/>
        <v>0.15895430797628674</v>
      </c>
      <c r="K41" s="233">
        <f t="shared" si="46"/>
        <v>0.16136266593571041</v>
      </c>
      <c r="L41" s="233">
        <f t="shared" si="47"/>
        <v>0.17397943096489973</v>
      </c>
      <c r="M41" s="233">
        <f t="shared" si="48"/>
        <v>0.19237381608122434</v>
      </c>
      <c r="N41" s="233">
        <f t="shared" si="49"/>
        <v>0.21271299088867007</v>
      </c>
      <c r="O41" s="342" t="s">
        <v>1107</v>
      </c>
    </row>
    <row r="42" spans="1:15" x14ac:dyDescent="0.25">
      <c r="A42" s="227" t="s">
        <v>988</v>
      </c>
      <c r="B42" s="220" t="e">
        <f>VLOOKUP($A42,ITEMS_Tech_N!$D$6:$E$122,2,FALSE)</f>
        <v>#N/A</v>
      </c>
      <c r="C42" s="220" t="s">
        <v>139</v>
      </c>
      <c r="D42" s="642" t="s">
        <v>1111</v>
      </c>
      <c r="E42" s="234">
        <f t="shared" si="63"/>
        <v>13.391674355242717</v>
      </c>
      <c r="F42" s="643" cm="1">
        <f t="array" ref="F42">IFERROR(INDEX('AEA2012'!$AQ$6:$AQ$104,MATCH(1,('AEA2012'!$D$6:$D$104=$C42)*('AEA2012'!$E$6:$E$104=$D42),0)),"")</f>
        <v>13.191801941531427</v>
      </c>
      <c r="G42" s="234">
        <f t="shared" ref="G42:I42" si="69">F42*(1+G$3)^(G$5-F$5)</f>
        <v>12.235149396544747</v>
      </c>
      <c r="H42" s="234">
        <f t="shared" si="69"/>
        <v>11.065249799289859</v>
      </c>
      <c r="I42" s="234">
        <f t="shared" si="69"/>
        <v>10.007213573972518</v>
      </c>
      <c r="J42" s="233">
        <f t="shared" si="1"/>
        <v>7.4673261421452447E-2</v>
      </c>
      <c r="K42" s="233">
        <f t="shared" si="46"/>
        <v>7.5804655378559349E-2</v>
      </c>
      <c r="L42" s="233">
        <f t="shared" si="47"/>
        <v>8.1731735967392749E-2</v>
      </c>
      <c r="M42" s="233">
        <f t="shared" si="48"/>
        <v>9.0373016257091418E-2</v>
      </c>
      <c r="N42" s="233">
        <f t="shared" si="49"/>
        <v>9.9927916258415031E-2</v>
      </c>
      <c r="O42" s="342" t="s">
        <v>1162</v>
      </c>
    </row>
    <row r="43" spans="1:15" x14ac:dyDescent="0.25">
      <c r="A43" s="227" t="s">
        <v>401</v>
      </c>
      <c r="B43" s="220" t="str">
        <f>VLOOKUP($A43,ITEMS_Tech_N!$D$6:$E$122,2,FALSE)</f>
        <v>Transport Passenger Metro Rail Electricity-N</v>
      </c>
      <c r="C43" s="642" t="s">
        <v>856</v>
      </c>
      <c r="D43" s="642" t="s">
        <v>856</v>
      </c>
      <c r="E43" s="392">
        <f>IFERROR(1/INDEX('EFF-E_ANTC'!$D$4:$D$47,MATCH($A43,'EFF-E_ANTC'!$J$4:$J$47,0)),"")</f>
        <v>0.25919779712776714</v>
      </c>
      <c r="F43" s="238">
        <f>E43</f>
        <v>0.25919779712776714</v>
      </c>
      <c r="G43" s="238">
        <f t="shared" ref="G43:I44" si="70">F43</f>
        <v>0.25919779712776714</v>
      </c>
      <c r="H43" s="238">
        <f t="shared" si="70"/>
        <v>0.25919779712776714</v>
      </c>
      <c r="I43" s="238">
        <f t="shared" si="70"/>
        <v>0.25919779712776714</v>
      </c>
      <c r="J43" s="233">
        <f t="shared" si="1"/>
        <v>3.8580574799679606</v>
      </c>
      <c r="K43" s="233">
        <f t="shared" si="46"/>
        <v>3.8580574799679606</v>
      </c>
      <c r="L43" s="233">
        <f t="shared" si="47"/>
        <v>3.8580574799679606</v>
      </c>
      <c r="M43" s="233">
        <f t="shared" si="48"/>
        <v>3.8580574799679606</v>
      </c>
      <c r="N43" s="233">
        <f t="shared" si="49"/>
        <v>3.8580574799679606</v>
      </c>
      <c r="O43" s="238" t="s">
        <v>1171</v>
      </c>
    </row>
    <row r="44" spans="1:15" x14ac:dyDescent="0.25">
      <c r="A44" s="227" t="s">
        <v>402</v>
      </c>
      <c r="B44" s="220" t="str">
        <f>VLOOKUP($A44,ITEMS_Tech_N!$D$6:$E$122,2,FALSE)</f>
        <v>Transport Passenger Gautrain Electricity-N</v>
      </c>
      <c r="C44" s="642" t="s">
        <v>856</v>
      </c>
      <c r="D44" s="642" t="s">
        <v>856</v>
      </c>
      <c r="E44" s="651">
        <f>Analytica!Z42</f>
        <v>7.0026980278615358</v>
      </c>
      <c r="F44" s="238">
        <f>E44</f>
        <v>7.0026980278615358</v>
      </c>
      <c r="G44" s="238">
        <f t="shared" si="70"/>
        <v>7.0026980278615358</v>
      </c>
      <c r="H44" s="238">
        <f t="shared" si="70"/>
        <v>7.0026980278615358</v>
      </c>
      <c r="I44" s="238">
        <f t="shared" si="70"/>
        <v>7.0026980278615358</v>
      </c>
      <c r="J44" s="233">
        <f t="shared" si="1"/>
        <v>0.14280210227848097</v>
      </c>
      <c r="K44" s="233">
        <f t="shared" si="46"/>
        <v>0.14280210227848097</v>
      </c>
      <c r="L44" s="233">
        <f t="shared" si="47"/>
        <v>0.14280210227848097</v>
      </c>
      <c r="M44" s="233">
        <f t="shared" si="48"/>
        <v>0.14280210227848097</v>
      </c>
      <c r="N44" s="233">
        <f t="shared" si="49"/>
        <v>0.14280210227848097</v>
      </c>
      <c r="O44" s="342" t="s">
        <v>1172</v>
      </c>
    </row>
    <row r="45" spans="1:15" x14ac:dyDescent="0.25">
      <c r="A45" s="227" t="s">
        <v>992</v>
      </c>
      <c r="B45" s="220" t="str">
        <f>VLOOKUP($A45,ITEMS_Tech_N!$D$6:$E$122,2,FALSE)</f>
        <v>Transport Freight - LCV Oil Diesel-N</v>
      </c>
      <c r="C45" s="220" t="s">
        <v>1110</v>
      </c>
      <c r="D45" s="220" t="s">
        <v>1111</v>
      </c>
      <c r="E45" s="392">
        <f>IFERROR(1/INDEX('EFF-E_ANTC'!$D$4:$D$47,MATCH($A45,'EFF-E_ANTC'!$J$4:$J$47,0)),"")</f>
        <v>4.2382643969590106</v>
      </c>
      <c r="F45" s="648">
        <f>E45*(1+F$4)^(F$5-E$5)</f>
        <v>4.2255623143230601</v>
      </c>
      <c r="G45" s="648">
        <f t="shared" ref="G45:I45" si="71">F45*(1+G$4)^(G$5-F$5)</f>
        <v>3.9988248770466241</v>
      </c>
      <c r="H45" s="648">
        <f t="shared" si="71"/>
        <v>3.6164655399002528</v>
      </c>
      <c r="I45" s="648">
        <f t="shared" si="71"/>
        <v>3.2706666091728263</v>
      </c>
      <c r="J45" s="233">
        <f t="shared" si="1"/>
        <v>0.23594563867169499</v>
      </c>
      <c r="K45" s="233">
        <f t="shared" ref="K45:N45" si="72">1/F45</f>
        <v>0.23665489362454264</v>
      </c>
      <c r="L45" s="233">
        <f t="shared" si="72"/>
        <v>0.25007346676770725</v>
      </c>
      <c r="M45" s="233">
        <f t="shared" si="72"/>
        <v>0.27651307304523115</v>
      </c>
      <c r="N45" s="233">
        <f t="shared" si="72"/>
        <v>0.30574806897022955</v>
      </c>
      <c r="O45" s="342" t="s">
        <v>1166</v>
      </c>
    </row>
    <row r="46" spans="1:15" x14ac:dyDescent="0.25">
      <c r="A46" s="227" t="s">
        <v>994</v>
      </c>
      <c r="B46" s="220" t="e">
        <f>VLOOKUP($A46,ITEMS_Tech_N!$D$6:$E$122,2,FALSE)</f>
        <v>#N/A</v>
      </c>
      <c r="C46" s="220" t="s">
        <v>1110</v>
      </c>
      <c r="D46" s="220" t="s">
        <v>1113</v>
      </c>
      <c r="E46" s="234">
        <f>F46*(1+F$4)^(E$5-F$5)</f>
        <v>2.1679579432604559</v>
      </c>
      <c r="F46" s="643" cm="1">
        <f t="array" ref="F46">IFERROR(INDEX('AEA2012'!$AQ$6:$AQ$104,MATCH(1,('AEA2012'!$D$6:$D$104=$C46)*('AEA2012'!$E$6:$E$104=$D46),0)),"")</f>
        <v>2.161460571136546</v>
      </c>
      <c r="G46" s="234">
        <f>F46*(1+G$4)^(G$5-F$5)</f>
        <v>2.0454797869904073</v>
      </c>
      <c r="H46" s="234">
        <f t="shared" ref="H46:I46" si="73">G46*(1+H$4)^(H$5-G$5)</f>
        <v>1.8498952541469516</v>
      </c>
      <c r="I46" s="234">
        <f t="shared" si="73"/>
        <v>1.6730121084943594</v>
      </c>
      <c r="J46" s="233">
        <f t="shared" si="1"/>
        <v>0.46126356053571338</v>
      </c>
      <c r="K46" s="233">
        <f t="shared" ref="K46:K72" si="74">1/F46</f>
        <v>0.46265012341824807</v>
      </c>
      <c r="L46" s="233">
        <f t="shared" ref="L46:L72" si="75">1/G46</f>
        <v>0.48888285592464265</v>
      </c>
      <c r="M46" s="233">
        <f t="shared" ref="M46:M72" si="76">1/H46</f>
        <v>0.54057114734376321</v>
      </c>
      <c r="N46" s="233">
        <f t="shared" ref="N46:N72" si="77">1/I46</f>
        <v>0.59772430511573404</v>
      </c>
      <c r="O46" s="342" t="s">
        <v>1107</v>
      </c>
    </row>
    <row r="47" spans="1:15" x14ac:dyDescent="0.25">
      <c r="A47" s="227" t="s">
        <v>996</v>
      </c>
      <c r="B47" s="220" t="str">
        <f>VLOOKUP($A47,ITEMS_Tech_N!$D$6:$E$122,2,FALSE)</f>
        <v>Transport Freight - LCV Oil Gasoline-N</v>
      </c>
      <c r="C47" s="220" t="s">
        <v>1110</v>
      </c>
      <c r="D47" s="220" t="s">
        <v>1112</v>
      </c>
      <c r="E47" s="392">
        <f>IFERROR(1/INDEX('EFF-E_ANTC'!$D$4:$D$47,MATCH($A47,'EFF-E_ANTC'!$J$4:$J$47,0)),"")</f>
        <v>4.8483852312768576</v>
      </c>
      <c r="F47" s="648">
        <f t="shared" ref="F47:I47" si="78">E47*(1+F$4)^(F$5-E$5)</f>
        <v>4.8338546158903357</v>
      </c>
      <c r="G47" s="648">
        <f t="shared" si="78"/>
        <v>4.5744771114907996</v>
      </c>
      <c r="H47" s="648">
        <f t="shared" si="78"/>
        <v>4.1370751021703311</v>
      </c>
      <c r="I47" s="648">
        <f t="shared" si="78"/>
        <v>3.741496565368065</v>
      </c>
      <c r="J47" s="233">
        <f t="shared" si="1"/>
        <v>0.206254237709705</v>
      </c>
      <c r="K47" s="233">
        <f t="shared" si="74"/>
        <v>0.2068742400139009</v>
      </c>
      <c r="L47" s="233">
        <f t="shared" si="75"/>
        <v>0.21860421981084194</v>
      </c>
      <c r="M47" s="233">
        <f t="shared" si="76"/>
        <v>0.24171666583364532</v>
      </c>
      <c r="N47" s="233">
        <f t="shared" si="77"/>
        <v>0.26727272964945947</v>
      </c>
      <c r="O47" s="342" t="s">
        <v>1166</v>
      </c>
    </row>
    <row r="48" spans="1:15" x14ac:dyDescent="0.25">
      <c r="A48" s="227" t="s">
        <v>998</v>
      </c>
      <c r="B48" s="220" t="str">
        <f>VLOOKUP($A48,ITEMS_Tech_N!$D$6:$E$122,2,FALSE)</f>
        <v>Transport Freight - LCV Oil GasolineHybrid-N</v>
      </c>
      <c r="C48" s="220" t="s">
        <v>1110</v>
      </c>
      <c r="D48" s="220" t="s">
        <v>1114</v>
      </c>
      <c r="E48" s="234">
        <f>F48*(1+F$4)^(E$5-F$5)</f>
        <v>1.8549167863672344</v>
      </c>
      <c r="F48" s="643" cm="1">
        <f t="array" ref="F48">IFERROR(INDEX('AEA2012'!$AQ$6:$AQ$104,MATCH(1,('AEA2012'!$D$6:$D$104=$C48)*('AEA2012'!$E$6:$E$104=$D48),0)),"")</f>
        <v>1.8493575989035749</v>
      </c>
      <c r="G48" s="234">
        <f t="shared" ref="G48:I48" si="79">F48*(1+G$4)^(G$5-F$5)</f>
        <v>1.7501237996144796</v>
      </c>
      <c r="H48" s="234">
        <f t="shared" si="79"/>
        <v>1.582780593417636</v>
      </c>
      <c r="I48" s="234">
        <f t="shared" si="79"/>
        <v>1.4314383973587081</v>
      </c>
      <c r="J48" s="233">
        <f t="shared" si="1"/>
        <v>0.5391077418402429</v>
      </c>
      <c r="K48" s="233">
        <f t="shared" si="74"/>
        <v>0.54072830511139014</v>
      </c>
      <c r="L48" s="233">
        <f t="shared" si="75"/>
        <v>0.57138814992418352</v>
      </c>
      <c r="M48" s="233">
        <f t="shared" si="76"/>
        <v>0.63179950787792971</v>
      </c>
      <c r="N48" s="233">
        <f t="shared" si="77"/>
        <v>0.69859799893952912</v>
      </c>
      <c r="O48" s="342" t="s">
        <v>1107</v>
      </c>
    </row>
    <row r="49" spans="1:15" x14ac:dyDescent="0.25">
      <c r="A49" s="227" t="s">
        <v>1000</v>
      </c>
      <c r="B49" s="220" t="e">
        <f>VLOOKUP($A49,ITEMS_Tech_N!$D$6:$E$122,2,FALSE)</f>
        <v>#N/A</v>
      </c>
      <c r="C49" s="220" t="s">
        <v>1110</v>
      </c>
      <c r="D49" s="220" t="s">
        <v>1115</v>
      </c>
      <c r="E49" s="392">
        <f>IFERROR(1/INDEX('EFF-E_ANTC'!$D$4:$D$47,MATCH($A49,'EFF-E_ANTC'!$J$4:$J$47,0)),"")</f>
        <v>4.5688020333430996</v>
      </c>
      <c r="F49" s="648">
        <f t="shared" ref="F49:I49" si="80">E49*(1+F$4)^(F$5-E$5)</f>
        <v>4.5551093290803681</v>
      </c>
      <c r="G49" s="648">
        <f t="shared" si="80"/>
        <v>4.3106888853707064</v>
      </c>
      <c r="H49" s="648">
        <f t="shared" si="80"/>
        <v>3.8985097588689492</v>
      </c>
      <c r="I49" s="648">
        <f t="shared" si="80"/>
        <v>3.5257423451679735</v>
      </c>
      <c r="J49" s="233">
        <f t="shared" si="1"/>
        <v>0.21887575620523803</v>
      </c>
      <c r="K49" s="233">
        <f t="shared" si="74"/>
        <v>0.21953369892043628</v>
      </c>
      <c r="L49" s="233">
        <f t="shared" si="75"/>
        <v>0.2319814829118671</v>
      </c>
      <c r="M49" s="233">
        <f t="shared" si="76"/>
        <v>0.25650827158378692</v>
      </c>
      <c r="N49" s="233">
        <f t="shared" si="77"/>
        <v>0.28362821275652744</v>
      </c>
      <c r="O49" s="342" t="s">
        <v>1166</v>
      </c>
    </row>
    <row r="50" spans="1:15" x14ac:dyDescent="0.25">
      <c r="A50" s="227" t="s">
        <v>1002</v>
      </c>
      <c r="B50" s="220" t="str">
        <f>VLOOKUP($A50,ITEMS_Tech_N!$D$6:$E$122,2,FALSE)</f>
        <v>Transport Freight - LCV Electricity-N</v>
      </c>
      <c r="C50" s="220" t="s">
        <v>1110</v>
      </c>
      <c r="D50" s="220" t="s">
        <v>1117</v>
      </c>
      <c r="E50" s="234">
        <f>F50*(1+F$4)^(E$5-F$5)</f>
        <v>0.65945189518707192</v>
      </c>
      <c r="F50" s="643" cm="1">
        <f t="array" ref="F50">IFERROR(INDEX('AEA2012'!$AQ$6:$AQ$104,MATCH(1,('AEA2012'!$D$6:$D$104=$C50)*('AEA2012'!$E$6:$E$104=$D50),0)),"")</f>
        <v>0.65747551719774433</v>
      </c>
      <c r="G50" s="234">
        <f t="shared" ref="G50:I50" si="81">F50*(1+G$4)^(G$5-F$5)</f>
        <v>0.62219635131345241</v>
      </c>
      <c r="H50" s="234">
        <f t="shared" si="81"/>
        <v>0.56270322726376709</v>
      </c>
      <c r="I50" s="234">
        <f t="shared" si="81"/>
        <v>0.50889871228695649</v>
      </c>
      <c r="J50" s="233">
        <f t="shared" si="1"/>
        <v>1.5164108364815938</v>
      </c>
      <c r="K50" s="233">
        <f t="shared" si="74"/>
        <v>1.5209691826429439</v>
      </c>
      <c r="L50" s="233">
        <f t="shared" si="75"/>
        <v>1.6072096821027744</v>
      </c>
      <c r="M50" s="233">
        <f t="shared" si="76"/>
        <v>1.7771357112392214</v>
      </c>
      <c r="N50" s="233">
        <f t="shared" si="77"/>
        <v>1.9650275700366138</v>
      </c>
      <c r="O50" s="342" t="s">
        <v>1107</v>
      </c>
    </row>
    <row r="51" spans="1:15" x14ac:dyDescent="0.25">
      <c r="A51" s="227" t="s">
        <v>1004</v>
      </c>
      <c r="B51" s="220" t="str">
        <f>VLOOKUP($A51,ITEMS_Tech_N!$D$6:$E$122,2,FALSE)</f>
        <v>Transport Freight - HCV1 Oil Diesel-N</v>
      </c>
      <c r="C51" s="220" t="s">
        <v>1120</v>
      </c>
      <c r="D51" s="220" t="s">
        <v>1111</v>
      </c>
      <c r="E51" s="392">
        <f>IFERROR(1/INDEX('EFF-E_ANTC'!$D$4:$D$47,MATCH($A51,'EFF-E_ANTC'!$J$4:$J$47,0)),"")</f>
        <v>5.8711571257638555</v>
      </c>
      <c r="F51" s="648">
        <f t="shared" ref="F51:I51" si="82">E51*(1+F$4)^(F$5-E$5)</f>
        <v>5.8535612619867843</v>
      </c>
      <c r="G51" s="648">
        <f t="shared" si="82"/>
        <v>5.539467803943408</v>
      </c>
      <c r="H51" s="648">
        <f t="shared" si="82"/>
        <v>5.0097953869748038</v>
      </c>
      <c r="I51" s="648">
        <f t="shared" si="82"/>
        <v>4.5307691474418084</v>
      </c>
      <c r="J51" s="233">
        <f t="shared" si="1"/>
        <v>0.170324176066042</v>
      </c>
      <c r="K51" s="233">
        <f t="shared" si="74"/>
        <v>0.17083617224509673</v>
      </c>
      <c r="L51" s="233">
        <f t="shared" si="75"/>
        <v>0.18052275694934541</v>
      </c>
      <c r="M51" s="233">
        <f t="shared" si="76"/>
        <v>0.19960895061701436</v>
      </c>
      <c r="N51" s="233">
        <f t="shared" si="77"/>
        <v>0.22071307706432722</v>
      </c>
      <c r="O51" s="342" t="s">
        <v>1166</v>
      </c>
    </row>
    <row r="52" spans="1:15" x14ac:dyDescent="0.25">
      <c r="A52" s="227" t="s">
        <v>1006</v>
      </c>
      <c r="B52" s="220" t="str">
        <f>VLOOKUP($A52,ITEMS_Tech_N!$D$6:$E$122,2,FALSE)</f>
        <v>Transport Freight - HCV1 Oil Gasoline-N</v>
      </c>
      <c r="C52" s="220" t="s">
        <v>1120</v>
      </c>
      <c r="D52" s="220" t="s">
        <v>1112</v>
      </c>
      <c r="E52" s="392">
        <f>IFERROR(1/INDEX('EFF-E_ANTC'!$D$4:$D$47,MATCH($A52,'EFF-E_ANTC'!$J$4:$J$47,0)),"")</f>
        <v>6.7130154689796147</v>
      </c>
      <c r="F52" s="648">
        <f t="shared" ref="F52:I52" si="83">E52*(1+F$4)^(F$5-E$5)</f>
        <v>6.6928965549060671</v>
      </c>
      <c r="G52" s="648">
        <f t="shared" si="83"/>
        <v>6.3337656038201411</v>
      </c>
      <c r="H52" s="648">
        <f t="shared" si="83"/>
        <v>5.7281440794022513</v>
      </c>
      <c r="I52" s="648">
        <f t="shared" si="83"/>
        <v>5.1804308284792056</v>
      </c>
      <c r="J52" s="233">
        <f t="shared" si="1"/>
        <v>0.14896435210389899</v>
      </c>
      <c r="K52" s="233">
        <f t="shared" si="74"/>
        <v>0.14941214043820444</v>
      </c>
      <c r="L52" s="233">
        <f t="shared" si="75"/>
        <v>0.15788396075106742</v>
      </c>
      <c r="M52" s="233">
        <f t="shared" si="76"/>
        <v>0.17457661436902142</v>
      </c>
      <c r="N52" s="233">
        <f t="shared" si="77"/>
        <v>0.19303413810730588</v>
      </c>
      <c r="O52" s="342" t="s">
        <v>1166</v>
      </c>
    </row>
    <row r="53" spans="1:15" x14ac:dyDescent="0.25">
      <c r="A53" s="227" t="s">
        <v>1008</v>
      </c>
      <c r="B53" s="220" t="str">
        <f>VLOOKUP($A53,ITEMS_Tech_N!$D$6:$E$122,2,FALSE)</f>
        <v>Transport Freight - HCV2 Oil Diesel-N</v>
      </c>
      <c r="C53" s="220" t="s">
        <v>1120</v>
      </c>
      <c r="D53" s="220" t="s">
        <v>1111</v>
      </c>
      <c r="E53" s="392">
        <f>IFERROR(1/INDEX('EFF-E_ANTC'!$D$4:$D$47,MATCH($A53,'EFF-E_ANTC'!$J$4:$J$47,0)),"")</f>
        <v>7.3296679530566031</v>
      </c>
      <c r="F53" s="648">
        <f t="shared" ref="F53:I53" si="84">E53*(1+F$4)^(F$5-E$5)</f>
        <v>7.3077009308716248</v>
      </c>
      <c r="G53" s="648">
        <f t="shared" si="84"/>
        <v>6.9155804843615609</v>
      </c>
      <c r="H53" s="648">
        <f t="shared" si="84"/>
        <v>6.2543270283373005</v>
      </c>
      <c r="I53" s="648">
        <f t="shared" si="84"/>
        <v>5.6563012556713366</v>
      </c>
      <c r="J53" s="233">
        <f t="shared" si="1"/>
        <v>0.13643182834537301</v>
      </c>
      <c r="K53" s="233">
        <f t="shared" si="74"/>
        <v>0.13684194378774683</v>
      </c>
      <c r="L53" s="233">
        <f t="shared" si="75"/>
        <v>0.14460102116681806</v>
      </c>
      <c r="M53" s="233">
        <f t="shared" si="76"/>
        <v>0.15988930471162904</v>
      </c>
      <c r="N53" s="233">
        <f t="shared" si="77"/>
        <v>0.17679397804304392</v>
      </c>
      <c r="O53" s="342" t="s">
        <v>1166</v>
      </c>
    </row>
    <row r="54" spans="1:15" x14ac:dyDescent="0.25">
      <c r="A54" s="227" t="s">
        <v>1010</v>
      </c>
      <c r="B54" s="220" t="str">
        <f>VLOOKUP($A54,ITEMS_Tech_N!$D$6:$E$122,2,FALSE)</f>
        <v>Transport Freight - HCV3 Oil Diesel-N</v>
      </c>
      <c r="C54" s="220" t="s">
        <v>1120</v>
      </c>
      <c r="D54" s="220" t="s">
        <v>1111</v>
      </c>
      <c r="E54" s="392">
        <f>IFERROR(1/INDEX('EFF-E_ANTC'!$D$4:$D$47,MATCH($A54,'EFF-E_ANTC'!$J$4:$J$47,0)),"")</f>
        <v>8.3835108522496302</v>
      </c>
      <c r="F54" s="648">
        <f t="shared" ref="F54:I54" si="85">E54*(1+F$4)^(F$5-E$5)</f>
        <v>8.3583854618419267</v>
      </c>
      <c r="G54" s="648">
        <f t="shared" si="85"/>
        <v>7.909886834105972</v>
      </c>
      <c r="H54" s="648">
        <f t="shared" si="85"/>
        <v>7.1535598681135806</v>
      </c>
      <c r="I54" s="648">
        <f t="shared" si="85"/>
        <v>6.4695513172242682</v>
      </c>
      <c r="J54" s="233">
        <f t="shared" si="1"/>
        <v>0.119281768417066</v>
      </c>
      <c r="K54" s="233">
        <f t="shared" si="74"/>
        <v>0.11964033060753712</v>
      </c>
      <c r="L54" s="233">
        <f t="shared" si="75"/>
        <v>0.12642405902549511</v>
      </c>
      <c r="M54" s="233">
        <f t="shared" si="76"/>
        <v>0.13979054043531805</v>
      </c>
      <c r="N54" s="233">
        <f t="shared" si="77"/>
        <v>0.15457022457456068</v>
      </c>
      <c r="O54" s="342" t="s">
        <v>1166</v>
      </c>
    </row>
    <row r="55" spans="1:15" x14ac:dyDescent="0.25">
      <c r="A55" s="227" t="s">
        <v>1012</v>
      </c>
      <c r="B55" s="220" t="str">
        <f>VLOOKUP($A55,ITEMS_Tech_N!$D$6:$E$122,2,FALSE)</f>
        <v>Transport Freight - HCV4 Oil Diesel-N</v>
      </c>
      <c r="C55" s="220" t="s">
        <v>1122</v>
      </c>
      <c r="D55" s="220" t="s">
        <v>1111</v>
      </c>
      <c r="E55" s="392">
        <f>IFERROR(1/INDEX('EFF-E_ANTC'!$D$4:$D$47,MATCH($A55,'EFF-E_ANTC'!$J$4:$J$47,0)),"")</f>
        <v>9.7550044464299983</v>
      </c>
      <c r="F55" s="648">
        <f t="shared" ref="F55:I55" si="86">E55*(1+F$4)^(F$5-E$5)</f>
        <v>9.725768688349044</v>
      </c>
      <c r="G55" s="648">
        <f t="shared" si="86"/>
        <v>9.203898294800501</v>
      </c>
      <c r="H55" s="648">
        <f t="shared" si="86"/>
        <v>8.3238406380216734</v>
      </c>
      <c r="I55" s="648">
        <f t="shared" si="86"/>
        <v>7.5279322682566505</v>
      </c>
      <c r="J55" s="233">
        <f t="shared" si="1"/>
        <v>0.102511485821615</v>
      </c>
      <c r="K55" s="233">
        <f t="shared" si="74"/>
        <v>0.10281963637464944</v>
      </c>
      <c r="L55" s="233">
        <f t="shared" si="75"/>
        <v>0.10864961432319646</v>
      </c>
      <c r="M55" s="233">
        <f t="shared" si="76"/>
        <v>0.12013685070233035</v>
      </c>
      <c r="N55" s="233">
        <f t="shared" si="77"/>
        <v>0.13283860220378738</v>
      </c>
      <c r="O55" s="342" t="s">
        <v>1166</v>
      </c>
    </row>
    <row r="56" spans="1:15" x14ac:dyDescent="0.25">
      <c r="A56" s="227" t="s">
        <v>1014</v>
      </c>
      <c r="B56" s="220" t="str">
        <f>VLOOKUP($A56,ITEMS_Tech_N!$D$6:$E$122,2,FALSE)</f>
        <v>Transport Freight - HCV5 Oil Diesel-N</v>
      </c>
      <c r="C56" s="220" t="s">
        <v>1122</v>
      </c>
      <c r="D56" s="220" t="s">
        <v>1111</v>
      </c>
      <c r="E56" s="392">
        <f>IFERROR(1/INDEX('EFF-E_ANTC'!$D$4:$D$47,MATCH($A56,'EFF-E_ANTC'!$J$4:$J$47,0)),"")</f>
        <v>10.588781032925946</v>
      </c>
      <c r="F56" s="648">
        <f t="shared" ref="F56:I56" si="87">E56*(1+F$4)^(F$5-E$5)</f>
        <v>10.557046445581486</v>
      </c>
      <c r="G56" s="648">
        <f t="shared" si="87"/>
        <v>9.9905709144632269</v>
      </c>
      <c r="H56" s="648">
        <f t="shared" si="87"/>
        <v>9.035293254144861</v>
      </c>
      <c r="I56" s="648">
        <f t="shared" si="87"/>
        <v>8.1713572614965813</v>
      </c>
      <c r="J56" s="233">
        <f t="shared" si="1"/>
        <v>9.4439576839910805E-2</v>
      </c>
      <c r="K56" s="233">
        <f t="shared" si="74"/>
        <v>9.4723463153705931E-2</v>
      </c>
      <c r="L56" s="233">
        <f t="shared" si="75"/>
        <v>0.1000943798469327</v>
      </c>
      <c r="M56" s="233">
        <f t="shared" si="76"/>
        <v>0.11067709391073265</v>
      </c>
      <c r="N56" s="233">
        <f t="shared" si="77"/>
        <v>0.12237869034462585</v>
      </c>
      <c r="O56" s="342" t="s">
        <v>1166</v>
      </c>
    </row>
    <row r="57" spans="1:15" x14ac:dyDescent="0.25">
      <c r="A57" s="227" t="s">
        <v>1016</v>
      </c>
      <c r="B57" s="220" t="str">
        <f>VLOOKUP($A57,ITEMS_Tech_N!$D$6:$E$122,2,FALSE)</f>
        <v>Transport Freight - HCV6 Oil Diesel-N</v>
      </c>
      <c r="C57" s="220" t="s">
        <v>1122</v>
      </c>
      <c r="D57" s="220" t="s">
        <v>1111</v>
      </c>
      <c r="E57" s="392">
        <f>IFERROR(1/INDEX('EFF-E_ANTC'!$D$4:$D$47,MATCH($A57,'EFF-E_ANTC'!$J$4:$J$47,0)),"")</f>
        <v>15.351533031153163</v>
      </c>
      <c r="F57" s="648">
        <f t="shared" ref="F57:I57" si="88">E57*(1+F$4)^(F$5-E$5)</f>
        <v>15.305524471307264</v>
      </c>
      <c r="G57" s="648">
        <f t="shared" si="88"/>
        <v>14.484252617610334</v>
      </c>
      <c r="H57" s="648">
        <f t="shared" si="88"/>
        <v>13.099298437266139</v>
      </c>
      <c r="I57" s="648">
        <f t="shared" si="88"/>
        <v>11.846770701854338</v>
      </c>
      <c r="J57" s="233">
        <f t="shared" si="1"/>
        <v>6.5140074152247901E-2</v>
      </c>
      <c r="K57" s="233">
        <f t="shared" si="74"/>
        <v>6.5335885867528767E-2</v>
      </c>
      <c r="L57" s="233">
        <f t="shared" si="75"/>
        <v>6.9040497041882143E-2</v>
      </c>
      <c r="M57" s="233">
        <f t="shared" si="76"/>
        <v>7.6339966204228477E-2</v>
      </c>
      <c r="N57" s="233">
        <f t="shared" si="77"/>
        <v>8.4411188936363318E-2</v>
      </c>
      <c r="O57" s="342" t="s">
        <v>1166</v>
      </c>
    </row>
    <row r="58" spans="1:15" x14ac:dyDescent="0.25">
      <c r="A58" s="227" t="s">
        <v>1018</v>
      </c>
      <c r="B58" s="220" t="str">
        <f>VLOOKUP($A58,ITEMS_Tech_N!$D$6:$E$122,2,FALSE)</f>
        <v>Transport Freight - HCV7 Oil Diesel-N</v>
      </c>
      <c r="C58" s="220" t="s">
        <v>1123</v>
      </c>
      <c r="D58" s="220" t="s">
        <v>1111</v>
      </c>
      <c r="E58" s="392">
        <f>IFERROR(1/INDEX('EFF-E_ANTC'!$D$4:$D$47,MATCH($A58,'EFF-E_ANTC'!$J$4:$J$47,0)),"")</f>
        <v>14.221141864653497</v>
      </c>
      <c r="F58" s="648">
        <f t="shared" ref="F58:I58" si="89">E58*(1+F$4)^(F$5-E$5)</f>
        <v>14.178521088263988</v>
      </c>
      <c r="G58" s="648">
        <f t="shared" si="89"/>
        <v>13.417722572756142</v>
      </c>
      <c r="H58" s="648">
        <f t="shared" si="89"/>
        <v>12.134747782241671</v>
      </c>
      <c r="I58" s="648">
        <f t="shared" si="89"/>
        <v>10.974448379012209</v>
      </c>
      <c r="J58" s="233">
        <f t="shared" si="1"/>
        <v>7.0317841528990704E-2</v>
      </c>
      <c r="K58" s="233">
        <f t="shared" si="74"/>
        <v>7.0529217664861518E-2</v>
      </c>
      <c r="L58" s="233">
        <f t="shared" si="75"/>
        <v>7.4528296033668062E-2</v>
      </c>
      <c r="M58" s="233">
        <f t="shared" si="76"/>
        <v>8.2407975669954003E-2</v>
      </c>
      <c r="N58" s="233">
        <f t="shared" si="77"/>
        <v>9.1120752994968135E-2</v>
      </c>
      <c r="O58" s="342" t="s">
        <v>1166</v>
      </c>
    </row>
    <row r="59" spans="1:15" x14ac:dyDescent="0.25">
      <c r="A59" s="227" t="s">
        <v>1020</v>
      </c>
      <c r="B59" s="220" t="str">
        <f>VLOOKUP($A59,ITEMS_Tech_N!$D$6:$E$122,2,FALSE)</f>
        <v>Transport Freight - HCV8 Oil Diesel-N</v>
      </c>
      <c r="C59" s="220" t="s">
        <v>1123</v>
      </c>
      <c r="D59" s="220" t="s">
        <v>1111</v>
      </c>
      <c r="E59" s="392">
        <f>IFERROR(1/INDEX('EFF-E_ANTC'!$D$4:$D$47,MATCH($A59,'EFF-E_ANTC'!$J$4:$J$47,0)),"")</f>
        <v>14.452202013338351</v>
      </c>
      <c r="F59" s="648">
        <f t="shared" ref="F59:I59" si="90">E59*(1+F$4)^(F$5-E$5)</f>
        <v>14.408888749452174</v>
      </c>
      <c r="G59" s="648">
        <f t="shared" si="90"/>
        <v>13.63572904524475</v>
      </c>
      <c r="H59" s="648">
        <f t="shared" si="90"/>
        <v>12.331908928196269</v>
      </c>
      <c r="I59" s="648">
        <f t="shared" si="90"/>
        <v>11.152757385301742</v>
      </c>
      <c r="J59" s="233">
        <f t="shared" si="1"/>
        <v>6.9193607941341495E-2</v>
      </c>
      <c r="K59" s="233">
        <f t="shared" si="74"/>
        <v>6.9401604619788601E-2</v>
      </c>
      <c r="L59" s="233">
        <f t="shared" si="75"/>
        <v>7.3336746182173118E-2</v>
      </c>
      <c r="M59" s="233">
        <f t="shared" si="76"/>
        <v>8.109044640392632E-2</v>
      </c>
      <c r="N59" s="233">
        <f t="shared" si="77"/>
        <v>8.966392484408417E-2</v>
      </c>
      <c r="O59" s="342" t="s">
        <v>1166</v>
      </c>
    </row>
    <row r="60" spans="1:15" x14ac:dyDescent="0.25">
      <c r="A60" s="227" t="s">
        <v>1022</v>
      </c>
      <c r="B60" s="220" t="str">
        <f>VLOOKUP($A60,ITEMS_Tech_N!$D$6:$E$122,2,FALSE)</f>
        <v>Transport Freight - HCV9 Oil Diesel-N</v>
      </c>
      <c r="C60" s="220" t="s">
        <v>1123</v>
      </c>
      <c r="D60" s="220" t="s">
        <v>1111</v>
      </c>
      <c r="E60" s="392">
        <f>IFERROR(1/INDEX('EFF-E_ANTC'!$D$4:$D$47,MATCH($A60,'EFF-E_ANTC'!$J$4:$J$47,0)),"")</f>
        <v>18.392034419546842</v>
      </c>
      <c r="F60" s="648">
        <f t="shared" ref="F60:I60" si="91">E60*(1+F$4)^(F$5-E$5)</f>
        <v>18.336913473999427</v>
      </c>
      <c r="G60" s="648">
        <f t="shared" si="91"/>
        <v>17.352981760447015</v>
      </c>
      <c r="H60" s="648">
        <f t="shared" si="91"/>
        <v>15.693725652103005</v>
      </c>
      <c r="I60" s="648">
        <f t="shared" si="91"/>
        <v>14.193124169867817</v>
      </c>
      <c r="J60" s="233">
        <f t="shared" si="1"/>
        <v>5.4371364101907703E-2</v>
      </c>
      <c r="K60" s="233">
        <f t="shared" si="74"/>
        <v>5.4534804966928384E-2</v>
      </c>
      <c r="L60" s="233">
        <f t="shared" si="75"/>
        <v>5.7626983869672431E-2</v>
      </c>
      <c r="M60" s="233">
        <f t="shared" si="76"/>
        <v>6.3719732469389584E-2</v>
      </c>
      <c r="N60" s="233">
        <f t="shared" si="77"/>
        <v>7.0456651265195916E-2</v>
      </c>
      <c r="O60" s="342" t="s">
        <v>1166</v>
      </c>
    </row>
    <row r="61" spans="1:15" x14ac:dyDescent="0.25">
      <c r="A61" s="227" t="s">
        <v>1024</v>
      </c>
      <c r="B61" s="220" t="e">
        <f>VLOOKUP($A61,ITEMS_Tech_N!$D$6:$E$122,2,FALSE)</f>
        <v>#N/A</v>
      </c>
      <c r="C61" s="220" t="s">
        <v>1120</v>
      </c>
      <c r="D61" s="220" t="s">
        <v>1115</v>
      </c>
      <c r="E61" s="392">
        <f>IFERROR(1/INDEX('EFF-E_ANTC'!$D$4:$D$47,MATCH($A61,'EFF-E_ANTC'!$J$4:$J$47,0)),"")</f>
        <v>6.2578150586234313</v>
      </c>
      <c r="F61" s="648">
        <f t="shared" ref="F61:I61" si="92">E61*(1+F$4)^(F$5-E$5)</f>
        <v>6.2390603806349221</v>
      </c>
      <c r="G61" s="648">
        <f t="shared" si="92"/>
        <v>5.9042816088432835</v>
      </c>
      <c r="H61" s="648">
        <f t="shared" si="92"/>
        <v>5.3397264528420099</v>
      </c>
      <c r="I61" s="648">
        <f t="shared" si="92"/>
        <v>4.8291528894006595</v>
      </c>
      <c r="J61" s="233">
        <f t="shared" si="1"/>
        <v>0.15980018435060239</v>
      </c>
      <c r="K61" s="233">
        <f t="shared" si="74"/>
        <v>0.1602805453051625</v>
      </c>
      <c r="L61" s="233">
        <f t="shared" si="75"/>
        <v>0.16936861522699481</v>
      </c>
      <c r="M61" s="233">
        <f t="shared" si="76"/>
        <v>0.18727551098947423</v>
      </c>
      <c r="N61" s="233">
        <f t="shared" si="77"/>
        <v>0.20707565548294513</v>
      </c>
      <c r="O61" s="342" t="s">
        <v>1166</v>
      </c>
    </row>
    <row r="62" spans="1:15" x14ac:dyDescent="0.25">
      <c r="A62" s="227" t="s">
        <v>1026</v>
      </c>
      <c r="B62" s="220" t="e">
        <f>VLOOKUP($A62,ITEMS_Tech_N!$D$6:$E$122,2,FALSE)</f>
        <v>#N/A</v>
      </c>
      <c r="C62" s="220" t="s">
        <v>1120</v>
      </c>
      <c r="D62" s="220" t="s">
        <v>1115</v>
      </c>
      <c r="E62" s="234">
        <f t="shared" ref="E62:E86" si="93">F62*(1+F$4)^(E$5-F$5)</f>
        <v>10.222396827668435</v>
      </c>
      <c r="F62" s="643" cm="1">
        <f t="array" ref="F62">IFERROR(INDEX('AEA2012'!$AQ$6:$AQ$104,MATCH(1,('AEA2012'!$D$6:$D$104=$C62)*('AEA2012'!$E$6:$E$104=$D62),0)),"")</f>
        <v>10.191760294153514</v>
      </c>
      <c r="G62" s="234">
        <f t="shared" ref="G62:I62" si="94">F62*(1+G$4)^(G$5-F$5)</f>
        <v>9.6448854787948157</v>
      </c>
      <c r="H62" s="234">
        <f t="shared" si="94"/>
        <v>8.7226615425347411</v>
      </c>
      <c r="I62" s="234">
        <f t="shared" si="94"/>
        <v>7.8886187454370669</v>
      </c>
      <c r="J62" s="233">
        <f t="shared" si="1"/>
        <v>9.7824416020844698E-2</v>
      </c>
      <c r="K62" s="233">
        <f t="shared" si="74"/>
        <v>9.8118477195116946E-2</v>
      </c>
      <c r="L62" s="233">
        <f t="shared" si="75"/>
        <v>0.10368189463717259</v>
      </c>
      <c r="M62" s="233">
        <f t="shared" si="76"/>
        <v>0.11464390715192273</v>
      </c>
      <c r="N62" s="233">
        <f t="shared" si="77"/>
        <v>0.12676490425886278</v>
      </c>
      <c r="O62" s="342" t="s">
        <v>1107</v>
      </c>
    </row>
    <row r="63" spans="1:15" x14ac:dyDescent="0.25">
      <c r="A63" s="227" t="s">
        <v>1028</v>
      </c>
      <c r="B63" s="220" t="e">
        <f>VLOOKUP($A63,ITEMS_Tech_N!$D$6:$E$122,2,FALSE)</f>
        <v>#N/A</v>
      </c>
      <c r="C63" s="220" t="s">
        <v>1120</v>
      </c>
      <c r="D63" s="220" t="s">
        <v>1115</v>
      </c>
      <c r="E63" s="234">
        <f t="shared" si="93"/>
        <v>10.222396827668435</v>
      </c>
      <c r="F63" s="643" cm="1">
        <f t="array" ref="F63">IFERROR(INDEX('AEA2012'!$AQ$6:$AQ$104,MATCH(1,('AEA2012'!$D$6:$D$104=$C63)*('AEA2012'!$E$6:$E$104=$D63),0)),"")</f>
        <v>10.191760294153514</v>
      </c>
      <c r="G63" s="234">
        <f t="shared" ref="G63:I63" si="95">F63*(1+G$4)^(G$5-F$5)</f>
        <v>9.6448854787948157</v>
      </c>
      <c r="H63" s="234">
        <f t="shared" si="95"/>
        <v>8.7226615425347411</v>
      </c>
      <c r="I63" s="234">
        <f t="shared" si="95"/>
        <v>7.8886187454370669</v>
      </c>
      <c r="J63" s="233">
        <f t="shared" si="1"/>
        <v>9.7824416020844698E-2</v>
      </c>
      <c r="K63" s="233">
        <f t="shared" si="74"/>
        <v>9.8118477195116946E-2</v>
      </c>
      <c r="L63" s="233">
        <f t="shared" si="75"/>
        <v>0.10368189463717259</v>
      </c>
      <c r="M63" s="233">
        <f t="shared" si="76"/>
        <v>0.11464390715192273</v>
      </c>
      <c r="N63" s="233">
        <f t="shared" si="77"/>
        <v>0.12676490425886278</v>
      </c>
      <c r="O63" s="342" t="s">
        <v>1107</v>
      </c>
    </row>
    <row r="64" spans="1:15" x14ac:dyDescent="0.25">
      <c r="A64" s="227" t="s">
        <v>1030</v>
      </c>
      <c r="B64" s="220" t="e">
        <f>VLOOKUP($A64,ITEMS_Tech_N!$D$6:$E$122,2,FALSE)</f>
        <v>#N/A</v>
      </c>
      <c r="C64" s="220" t="s">
        <v>1122</v>
      </c>
      <c r="D64" s="220" t="s">
        <v>1115</v>
      </c>
      <c r="E64" s="234">
        <f t="shared" si="93"/>
        <v>12.779925529960202</v>
      </c>
      <c r="F64" s="643" cm="1">
        <f t="array" ref="F64">IFERROR(INDEX('AEA2012'!$AQ$6:$AQ$104,MATCH(1,('AEA2012'!$D$6:$D$104=$C64)*('AEA2012'!$E$6:$E$104=$D64),0)),"")</f>
        <v>12.741624080366986</v>
      </c>
      <c r="G64" s="234">
        <f t="shared" ref="G64:I64" si="96">F64*(1+G$4)^(G$5-F$5)</f>
        <v>12.057927337585674</v>
      </c>
      <c r="H64" s="234">
        <f t="shared" si="96"/>
        <v>10.904973345871118</v>
      </c>
      <c r="I64" s="234">
        <f t="shared" si="96"/>
        <v>9.8622624224546254</v>
      </c>
      <c r="J64" s="233">
        <f t="shared" si="1"/>
        <v>7.824771730130059E-2</v>
      </c>
      <c r="K64" s="233">
        <f t="shared" si="74"/>
        <v>7.8482930723160829E-2</v>
      </c>
      <c r="L64" s="233">
        <f t="shared" si="75"/>
        <v>8.2932992711185746E-2</v>
      </c>
      <c r="M64" s="233">
        <f t="shared" si="76"/>
        <v>9.1701278699468231E-2</v>
      </c>
      <c r="N64" s="233">
        <f t="shared" si="77"/>
        <v>0.10139661237599773</v>
      </c>
      <c r="O64" s="342" t="s">
        <v>1107</v>
      </c>
    </row>
    <row r="65" spans="1:15" x14ac:dyDescent="0.25">
      <c r="A65" s="227" t="s">
        <v>1032</v>
      </c>
      <c r="B65" s="220" t="e">
        <f>VLOOKUP($A65,ITEMS_Tech_N!$D$6:$E$122,2,FALSE)</f>
        <v>#N/A</v>
      </c>
      <c r="C65" s="220" t="s">
        <v>1122</v>
      </c>
      <c r="D65" s="220" t="s">
        <v>1115</v>
      </c>
      <c r="E65" s="234">
        <f t="shared" si="93"/>
        <v>12.779925529960202</v>
      </c>
      <c r="F65" s="643" cm="1">
        <f t="array" ref="F65">IFERROR(INDEX('AEA2012'!$AQ$6:$AQ$104,MATCH(1,('AEA2012'!$D$6:$D$104=$C65)*('AEA2012'!$E$6:$E$104=$D65),0)),"")</f>
        <v>12.741624080366986</v>
      </c>
      <c r="G65" s="234">
        <f t="shared" ref="G65:I65" si="97">F65*(1+G$4)^(G$5-F$5)</f>
        <v>12.057927337585674</v>
      </c>
      <c r="H65" s="234">
        <f t="shared" si="97"/>
        <v>10.904973345871118</v>
      </c>
      <c r="I65" s="234">
        <f t="shared" si="97"/>
        <v>9.8622624224546254</v>
      </c>
      <c r="J65" s="233">
        <f t="shared" si="1"/>
        <v>7.824771730130059E-2</v>
      </c>
      <c r="K65" s="233">
        <f t="shared" si="74"/>
        <v>7.8482930723160829E-2</v>
      </c>
      <c r="L65" s="233">
        <f t="shared" si="75"/>
        <v>8.2932992711185746E-2</v>
      </c>
      <c r="M65" s="233">
        <f t="shared" si="76"/>
        <v>9.1701278699468231E-2</v>
      </c>
      <c r="N65" s="233">
        <f t="shared" si="77"/>
        <v>0.10139661237599773</v>
      </c>
      <c r="O65" s="342" t="s">
        <v>1107</v>
      </c>
    </row>
    <row r="66" spans="1:15" x14ac:dyDescent="0.25">
      <c r="A66" s="227" t="s">
        <v>1034</v>
      </c>
      <c r="B66" s="220" t="e">
        <f>VLOOKUP($A66,ITEMS_Tech_N!$D$6:$E$122,2,FALSE)</f>
        <v>#N/A</v>
      </c>
      <c r="C66" s="220" t="s">
        <v>1122</v>
      </c>
      <c r="D66" s="220" t="s">
        <v>1115</v>
      </c>
      <c r="E66" s="234">
        <f t="shared" si="93"/>
        <v>12.779925529960202</v>
      </c>
      <c r="F66" s="643" cm="1">
        <f t="array" ref="F66">IFERROR(INDEX('AEA2012'!$AQ$6:$AQ$104,MATCH(1,('AEA2012'!$D$6:$D$104=$C66)*('AEA2012'!$E$6:$E$104=$D66),0)),"")</f>
        <v>12.741624080366986</v>
      </c>
      <c r="G66" s="234">
        <f t="shared" ref="G66:I66" si="98">F66*(1+G$4)^(G$5-F$5)</f>
        <v>12.057927337585674</v>
      </c>
      <c r="H66" s="234">
        <f t="shared" si="98"/>
        <v>10.904973345871118</v>
      </c>
      <c r="I66" s="234">
        <f t="shared" si="98"/>
        <v>9.8622624224546254</v>
      </c>
      <c r="J66" s="233">
        <f t="shared" si="1"/>
        <v>7.824771730130059E-2</v>
      </c>
      <c r="K66" s="233">
        <f t="shared" si="74"/>
        <v>7.8482930723160829E-2</v>
      </c>
      <c r="L66" s="233">
        <f t="shared" si="75"/>
        <v>8.2932992711185746E-2</v>
      </c>
      <c r="M66" s="233">
        <f t="shared" si="76"/>
        <v>9.1701278699468231E-2</v>
      </c>
      <c r="N66" s="233">
        <f t="shared" si="77"/>
        <v>0.10139661237599773</v>
      </c>
      <c r="O66" s="342" t="s">
        <v>1107</v>
      </c>
    </row>
    <row r="67" spans="1:15" x14ac:dyDescent="0.25">
      <c r="A67" s="227" t="s">
        <v>1036</v>
      </c>
      <c r="B67" s="220" t="e">
        <f>VLOOKUP($A67,ITEMS_Tech_N!$D$6:$E$122,2,FALSE)</f>
        <v>#N/A</v>
      </c>
      <c r="C67" s="220" t="s">
        <v>1123</v>
      </c>
      <c r="D67" s="220" t="s">
        <v>1115</v>
      </c>
      <c r="E67" s="234">
        <f t="shared" si="93"/>
        <v>13.638423465655592</v>
      </c>
      <c r="F67" s="643" cm="1">
        <f t="array" ref="F67">IFERROR(INDEX('AEA2012'!$AQ$6:$AQ$104,MATCH(1,('AEA2012'!$D$6:$D$104=$C67)*('AEA2012'!$E$6:$E$104=$D67),0)),"")</f>
        <v>13.597549096890598</v>
      </c>
      <c r="G67" s="234">
        <f t="shared" ref="G67:I67" si="99">F67*(1+G$4)^(G$5-F$5)</f>
        <v>12.867924680982913</v>
      </c>
      <c r="H67" s="234">
        <f t="shared" si="99"/>
        <v>11.637520424044332</v>
      </c>
      <c r="I67" s="234">
        <f t="shared" si="99"/>
        <v>10.524764869054554</v>
      </c>
      <c r="J67" s="233">
        <f t="shared" si="1"/>
        <v>7.3322257702161067E-2</v>
      </c>
      <c r="K67" s="233">
        <f t="shared" si="74"/>
        <v>7.3542665143137731E-2</v>
      </c>
      <c r="L67" s="233">
        <f t="shared" si="75"/>
        <v>7.7712609048595643E-2</v>
      </c>
      <c r="M67" s="233">
        <f t="shared" si="76"/>
        <v>8.5928957678466936E-2</v>
      </c>
      <c r="N67" s="233">
        <f t="shared" si="77"/>
        <v>9.5013999119377066E-2</v>
      </c>
      <c r="O67" s="342" t="s">
        <v>1107</v>
      </c>
    </row>
    <row r="68" spans="1:15" x14ac:dyDescent="0.25">
      <c r="A68" s="227" t="s">
        <v>1038</v>
      </c>
      <c r="B68" s="220" t="e">
        <f>VLOOKUP($A68,ITEMS_Tech_N!$D$6:$E$122,2,FALSE)</f>
        <v>#N/A</v>
      </c>
      <c r="C68" s="220" t="s">
        <v>1123</v>
      </c>
      <c r="D68" s="220" t="s">
        <v>1115</v>
      </c>
      <c r="E68" s="234">
        <f t="shared" si="93"/>
        <v>13.638423465655592</v>
      </c>
      <c r="F68" s="643" cm="1">
        <f t="array" ref="F68">IFERROR(INDEX('AEA2012'!$AQ$6:$AQ$104,MATCH(1,('AEA2012'!$D$6:$D$104=$C68)*('AEA2012'!$E$6:$E$104=$D68),0)),"")</f>
        <v>13.597549096890598</v>
      </c>
      <c r="G68" s="234">
        <f t="shared" ref="G68:I68" si="100">F68*(1+G$4)^(G$5-F$5)</f>
        <v>12.867924680982913</v>
      </c>
      <c r="H68" s="234">
        <f t="shared" si="100"/>
        <v>11.637520424044332</v>
      </c>
      <c r="I68" s="234">
        <f t="shared" si="100"/>
        <v>10.524764869054554</v>
      </c>
      <c r="J68" s="233">
        <f t="shared" si="1"/>
        <v>7.3322257702161067E-2</v>
      </c>
      <c r="K68" s="233">
        <f t="shared" si="74"/>
        <v>7.3542665143137731E-2</v>
      </c>
      <c r="L68" s="233">
        <f t="shared" si="75"/>
        <v>7.7712609048595643E-2</v>
      </c>
      <c r="M68" s="233">
        <f t="shared" si="76"/>
        <v>8.5928957678466936E-2</v>
      </c>
      <c r="N68" s="233">
        <f t="shared" si="77"/>
        <v>9.5013999119377066E-2</v>
      </c>
      <c r="O68" s="342" t="s">
        <v>1107</v>
      </c>
    </row>
    <row r="69" spans="1:15" x14ac:dyDescent="0.25">
      <c r="A69" s="227" t="s">
        <v>1040</v>
      </c>
      <c r="B69" s="220" t="e">
        <f>VLOOKUP($A69,ITEMS_Tech_N!$D$6:$E$122,2,FALSE)</f>
        <v>#N/A</v>
      </c>
      <c r="C69" s="220" t="s">
        <v>1123</v>
      </c>
      <c r="D69" s="220" t="s">
        <v>1115</v>
      </c>
      <c r="E69" s="234">
        <f t="shared" si="93"/>
        <v>13.638423465655592</v>
      </c>
      <c r="F69" s="643" cm="1">
        <f t="array" ref="F69">IFERROR(INDEX('AEA2012'!$AQ$6:$AQ$104,MATCH(1,('AEA2012'!$D$6:$D$104=$C69)*('AEA2012'!$E$6:$E$104=$D69),0)),"")</f>
        <v>13.597549096890598</v>
      </c>
      <c r="G69" s="234">
        <f t="shared" ref="G69:I69" si="101">F69*(1+G$4)^(G$5-F$5)</f>
        <v>12.867924680982913</v>
      </c>
      <c r="H69" s="234">
        <f t="shared" si="101"/>
        <v>11.637520424044332</v>
      </c>
      <c r="I69" s="234">
        <f t="shared" si="101"/>
        <v>10.524764869054554</v>
      </c>
      <c r="J69" s="233">
        <f t="shared" si="1"/>
        <v>7.3322257702161067E-2</v>
      </c>
      <c r="K69" s="233">
        <f t="shared" si="74"/>
        <v>7.3542665143137731E-2</v>
      </c>
      <c r="L69" s="233">
        <f t="shared" si="75"/>
        <v>7.7712609048595643E-2</v>
      </c>
      <c r="M69" s="233">
        <f t="shared" si="76"/>
        <v>8.5928957678466936E-2</v>
      </c>
      <c r="N69" s="233">
        <f t="shared" si="77"/>
        <v>9.5013999119377066E-2</v>
      </c>
      <c r="O69" s="342" t="s">
        <v>1107</v>
      </c>
    </row>
    <row r="70" spans="1:15" x14ac:dyDescent="0.25">
      <c r="A70" s="227" t="s">
        <v>1042</v>
      </c>
      <c r="B70" s="220" t="str">
        <f>VLOOKUP($A70,ITEMS_Tech_N!$D$6:$E$122,2,FALSE)</f>
        <v>Transport Freight - HCV1 Electricity-N</v>
      </c>
      <c r="C70" s="220" t="s">
        <v>1120</v>
      </c>
      <c r="D70" s="220" t="s">
        <v>1117</v>
      </c>
      <c r="E70" s="234">
        <f t="shared" si="93"/>
        <v>2.7848303965674743</v>
      </c>
      <c r="F70" s="643" cm="1">
        <f t="array" ref="F70">IFERROR(INDEX('AEA2012'!$AQ$6:$AQ$104,MATCH(1,('AEA2012'!$D$6:$D$104=$C70)*('AEA2012'!$E$6:$E$104=$D70),0)),"")</f>
        <v>2.7764842570841308</v>
      </c>
      <c r="G70" s="234">
        <f t="shared" ref="G70:I70" si="102">F70*(1+G$4)^(G$5-F$5)</f>
        <v>2.6275022096638985</v>
      </c>
      <c r="H70" s="234">
        <f t="shared" si="102"/>
        <v>2.3762659004660547</v>
      </c>
      <c r="I70" s="234">
        <f t="shared" si="102"/>
        <v>2.1490522858361554</v>
      </c>
      <c r="J70" s="233">
        <f t="shared" si="1"/>
        <v>0.35908829537072701</v>
      </c>
      <c r="K70" s="233">
        <f t="shared" si="74"/>
        <v>0.3601677183828883</v>
      </c>
      <c r="L70" s="233">
        <f t="shared" si="75"/>
        <v>0.38058959430063305</v>
      </c>
      <c r="M70" s="233">
        <f t="shared" si="76"/>
        <v>0.42082832556906657</v>
      </c>
      <c r="N70" s="233">
        <f t="shared" si="77"/>
        <v>0.46532139147601942</v>
      </c>
      <c r="O70" s="342" t="s">
        <v>1107</v>
      </c>
    </row>
    <row r="71" spans="1:15" x14ac:dyDescent="0.25">
      <c r="A71" s="227" t="s">
        <v>1044</v>
      </c>
      <c r="B71" s="220" t="str">
        <f>VLOOKUP($A71,ITEMS_Tech_N!$D$6:$E$122,2,FALSE)</f>
        <v>Transport Freight - HCV2 Electricity-N</v>
      </c>
      <c r="C71" s="220" t="s">
        <v>1120</v>
      </c>
      <c r="D71" s="220" t="s">
        <v>1117</v>
      </c>
      <c r="E71" s="234">
        <f t="shared" si="93"/>
        <v>2.7848303965674743</v>
      </c>
      <c r="F71" s="643" cm="1">
        <f t="array" ref="F71">IFERROR(INDEX('AEA2012'!$AQ$6:$AQ$104,MATCH(1,('AEA2012'!$D$6:$D$104=$C71)*('AEA2012'!$E$6:$E$104=$D71),0)),"")</f>
        <v>2.7764842570841308</v>
      </c>
      <c r="G71" s="234">
        <f t="shared" ref="G71:I71" si="103">F71*(1+G$4)^(G$5-F$5)</f>
        <v>2.6275022096638985</v>
      </c>
      <c r="H71" s="234">
        <f t="shared" si="103"/>
        <v>2.3762659004660547</v>
      </c>
      <c r="I71" s="234">
        <f t="shared" si="103"/>
        <v>2.1490522858361554</v>
      </c>
      <c r="J71" s="233">
        <f t="shared" si="1"/>
        <v>0.35908829537072701</v>
      </c>
      <c r="K71" s="233">
        <f t="shared" si="74"/>
        <v>0.3601677183828883</v>
      </c>
      <c r="L71" s="233">
        <f t="shared" si="75"/>
        <v>0.38058959430063305</v>
      </c>
      <c r="M71" s="233">
        <f t="shared" si="76"/>
        <v>0.42082832556906657</v>
      </c>
      <c r="N71" s="233">
        <f t="shared" si="77"/>
        <v>0.46532139147601942</v>
      </c>
      <c r="O71" s="342" t="s">
        <v>1107</v>
      </c>
    </row>
    <row r="72" spans="1:15" x14ac:dyDescent="0.25">
      <c r="A72" s="227" t="s">
        <v>1046</v>
      </c>
      <c r="B72" s="220" t="str">
        <f>VLOOKUP($A72,ITEMS_Tech_N!$D$6:$E$122,2,FALSE)</f>
        <v>Transport Freight - HCV3 Electricity-N</v>
      </c>
      <c r="C72" s="220" t="s">
        <v>1120</v>
      </c>
      <c r="D72" s="220" t="s">
        <v>1117</v>
      </c>
      <c r="E72" s="234">
        <f t="shared" si="93"/>
        <v>2.7848303965674743</v>
      </c>
      <c r="F72" s="643" cm="1">
        <f t="array" ref="F72">IFERROR(INDEX('AEA2012'!$AQ$6:$AQ$104,MATCH(1,('AEA2012'!$D$6:$D$104=$C72)*('AEA2012'!$E$6:$E$104=$D72),0)),"")</f>
        <v>2.7764842570841308</v>
      </c>
      <c r="G72" s="234">
        <f t="shared" ref="G72:I72" si="104">F72*(1+G$4)^(G$5-F$5)</f>
        <v>2.6275022096638985</v>
      </c>
      <c r="H72" s="234">
        <f t="shared" si="104"/>
        <v>2.3762659004660547</v>
      </c>
      <c r="I72" s="234">
        <f t="shared" si="104"/>
        <v>2.1490522858361554</v>
      </c>
      <c r="J72" s="233">
        <f t="shared" ref="J72:J90" si="105">1/E72</f>
        <v>0.35908829537072701</v>
      </c>
      <c r="K72" s="233">
        <f t="shared" si="74"/>
        <v>0.3601677183828883</v>
      </c>
      <c r="L72" s="233">
        <f t="shared" si="75"/>
        <v>0.38058959430063305</v>
      </c>
      <c r="M72" s="233">
        <f t="shared" si="76"/>
        <v>0.42082832556906657</v>
      </c>
      <c r="N72" s="233">
        <f t="shared" si="77"/>
        <v>0.46532139147601942</v>
      </c>
      <c r="O72" s="342" t="s">
        <v>1107</v>
      </c>
    </row>
    <row r="73" spans="1:15" x14ac:dyDescent="0.25">
      <c r="A73" s="227" t="s">
        <v>1048</v>
      </c>
      <c r="B73" s="220" t="str">
        <f>VLOOKUP($A73,ITEMS_Tech_N!$D$6:$E$122,2,FALSE)</f>
        <v>Transport Freight - HCV4 Electricity-N</v>
      </c>
      <c r="C73" s="220" t="s">
        <v>1122</v>
      </c>
      <c r="D73" s="642" t="s">
        <v>856</v>
      </c>
      <c r="E73" s="234">
        <f t="shared" si="93"/>
        <v>3.2404124453157235</v>
      </c>
      <c r="F73" s="238">
        <f>F55*F$72/F$54</f>
        <v>3.2307009259766994</v>
      </c>
      <c r="G73" s="234">
        <f t="shared" ref="G73:I73" si="106">F73*(1+G$4)^(G$5-F$5)</f>
        <v>3.0573462824823658</v>
      </c>
      <c r="H73" s="234">
        <f t="shared" si="106"/>
        <v>2.7650091749718562</v>
      </c>
      <c r="I73" s="234">
        <f t="shared" si="106"/>
        <v>2.5006247350794295</v>
      </c>
      <c r="J73" s="233">
        <f t="shared" si="105"/>
        <v>0.30860269082276248</v>
      </c>
      <c r="K73" s="233">
        <f t="shared" ref="K73:K78" si="107">1/F73</f>
        <v>0.30953035360203818</v>
      </c>
      <c r="L73" s="233">
        <f t="shared" ref="L73:L78" si="108">1/G73</f>
        <v>0.32708103943923067</v>
      </c>
      <c r="M73" s="233">
        <f t="shared" ref="M73:M78" si="109">1/H73</f>
        <v>0.3616624527150723</v>
      </c>
      <c r="N73" s="233">
        <f t="shared" ref="N73:N78" si="110">1/I73</f>
        <v>0.39990006735986161</v>
      </c>
      <c r="O73" s="342" t="s">
        <v>1167</v>
      </c>
    </row>
    <row r="74" spans="1:15" x14ac:dyDescent="0.25">
      <c r="A74" s="227" t="s">
        <v>1050</v>
      </c>
      <c r="B74" s="220" t="str">
        <f>VLOOKUP($A74,ITEMS_Tech_N!$D$6:$E$122,2,FALSE)</f>
        <v>Transport Freight - HCV5 Electricity-N</v>
      </c>
      <c r="C74" s="220" t="s">
        <v>1122</v>
      </c>
      <c r="D74" s="642" t="s">
        <v>856</v>
      </c>
      <c r="E74" s="234">
        <f t="shared" si="93"/>
        <v>3.5173759302973306</v>
      </c>
      <c r="F74" s="238">
        <f t="shared" ref="F74:F78" si="111">F56*F$72/F$54</f>
        <v>3.5068343511168534</v>
      </c>
      <c r="G74" s="234">
        <f t="shared" ref="G74:I74" si="112">F74*(1+G$4)^(G$5-F$5)</f>
        <v>3.318662795574999</v>
      </c>
      <c r="H74" s="234">
        <f t="shared" si="112"/>
        <v>3.0013391453166367</v>
      </c>
      <c r="I74" s="234">
        <f t="shared" si="112"/>
        <v>2.714357324046611</v>
      </c>
      <c r="J74" s="233">
        <f t="shared" si="105"/>
        <v>0.28430284957214341</v>
      </c>
      <c r="K74" s="233">
        <f t="shared" si="107"/>
        <v>0.28515746678525633</v>
      </c>
      <c r="L74" s="233">
        <f t="shared" si="108"/>
        <v>0.30132618515305881</v>
      </c>
      <c r="M74" s="233">
        <f t="shared" si="109"/>
        <v>0.33318460579852316</v>
      </c>
      <c r="N74" s="233">
        <f t="shared" si="110"/>
        <v>0.36841133300356443</v>
      </c>
      <c r="O74" s="342" t="s">
        <v>1167</v>
      </c>
    </row>
    <row r="75" spans="1:15" x14ac:dyDescent="0.25">
      <c r="A75" s="227" t="s">
        <v>1052</v>
      </c>
      <c r="B75" s="220" t="str">
        <f>VLOOKUP($A75,ITEMS_Tech_N!$D$6:$E$122,2,FALSE)</f>
        <v>Transport Freight - HCV6 Electricity-N</v>
      </c>
      <c r="C75" s="220" t="s">
        <v>1122</v>
      </c>
      <c r="D75" s="642" t="s">
        <v>856</v>
      </c>
      <c r="E75" s="234">
        <f t="shared" si="93"/>
        <v>5.0994644812313963</v>
      </c>
      <c r="F75" s="238">
        <f t="shared" si="111"/>
        <v>5.0841813810816809</v>
      </c>
      <c r="G75" s="234">
        <f t="shared" ref="G75:I75" si="113">F75*(1+G$4)^(G$5-F$5)</f>
        <v>4.8113717119194108</v>
      </c>
      <c r="H75" s="234">
        <f t="shared" si="113"/>
        <v>4.3513183324643396</v>
      </c>
      <c r="I75" s="234">
        <f t="shared" si="113"/>
        <v>3.9352543025379498</v>
      </c>
      <c r="J75" s="233">
        <f t="shared" si="105"/>
        <v>0.19609902249157826</v>
      </c>
      <c r="K75" s="233">
        <f t="shared" si="107"/>
        <v>0.19668849811712377</v>
      </c>
      <c r="L75" s="233">
        <f t="shared" si="108"/>
        <v>0.20784093598976328</v>
      </c>
      <c r="M75" s="233">
        <f t="shared" si="109"/>
        <v>0.22981540847958526</v>
      </c>
      <c r="N75" s="233">
        <f t="shared" si="110"/>
        <v>0.25411318383034953</v>
      </c>
      <c r="O75" s="342" t="s">
        <v>1167</v>
      </c>
    </row>
    <row r="76" spans="1:15" x14ac:dyDescent="0.25">
      <c r="A76" s="227" t="s">
        <v>1054</v>
      </c>
      <c r="B76" s="220" t="str">
        <f>VLOOKUP($A76,ITEMS_Tech_N!$D$6:$E$122,2,FALSE)</f>
        <v>Transport Freight - HCV7 Electricity-N</v>
      </c>
      <c r="C76" s="220" t="s">
        <v>1123</v>
      </c>
      <c r="D76" s="642" t="s">
        <v>856</v>
      </c>
      <c r="E76" s="234">
        <f t="shared" si="93"/>
        <v>4.7239717150193847</v>
      </c>
      <c r="F76" s="238">
        <f t="shared" si="111"/>
        <v>4.7098139670654993</v>
      </c>
      <c r="G76" s="234">
        <f t="shared" ref="G76:I76" si="114">F76*(1+G$4)^(G$5-F$5)</f>
        <v>4.4570923008102303</v>
      </c>
      <c r="H76" s="234">
        <f t="shared" si="114"/>
        <v>4.0309143835125223</v>
      </c>
      <c r="I76" s="234">
        <f t="shared" si="114"/>
        <v>3.6454867143438903</v>
      </c>
      <c r="J76" s="233">
        <f t="shared" si="105"/>
        <v>0.2116862801740752</v>
      </c>
      <c r="K76" s="233">
        <f t="shared" si="107"/>
        <v>0.21232261125232105</v>
      </c>
      <c r="L76" s="233">
        <f t="shared" si="108"/>
        <v>0.22436151923939637</v>
      </c>
      <c r="M76" s="233">
        <f t="shared" si="109"/>
        <v>0.24808266930457701</v>
      </c>
      <c r="N76" s="233">
        <f t="shared" si="110"/>
        <v>0.27431179383134269</v>
      </c>
      <c r="O76" s="342" t="s">
        <v>1167</v>
      </c>
    </row>
    <row r="77" spans="1:15" x14ac:dyDescent="0.25">
      <c r="A77" s="227" t="s">
        <v>1056</v>
      </c>
      <c r="B77" s="220" t="str">
        <f>VLOOKUP($A77,ITEMS_Tech_N!$D$6:$E$122,2,FALSE)</f>
        <v>Transport Freight - HCV8 Electricity-N</v>
      </c>
      <c r="C77" s="220" t="s">
        <v>1123</v>
      </c>
      <c r="D77" s="642" t="s">
        <v>856</v>
      </c>
      <c r="E77" s="234">
        <f t="shared" si="93"/>
        <v>4.8007251583957133</v>
      </c>
      <c r="F77" s="238">
        <f t="shared" si="111"/>
        <v>4.7863373802952758</v>
      </c>
      <c r="G77" s="234">
        <f t="shared" ref="G77:I77" si="115">F77*(1+G$4)^(G$5-F$5)</f>
        <v>4.5295095806270513</v>
      </c>
      <c r="H77" s="234">
        <f t="shared" si="115"/>
        <v>4.0964072732997519</v>
      </c>
      <c r="I77" s="234">
        <f t="shared" si="115"/>
        <v>3.7047173099079878</v>
      </c>
      <c r="J77" s="233">
        <f t="shared" si="105"/>
        <v>0.20830186419881946</v>
      </c>
      <c r="K77" s="233">
        <f t="shared" si="107"/>
        <v>0.20892802168874869</v>
      </c>
      <c r="L77" s="233">
        <f t="shared" si="108"/>
        <v>0.22077445299532031</v>
      </c>
      <c r="M77" s="233">
        <f t="shared" si="109"/>
        <v>0.24411635203315041</v>
      </c>
      <c r="N77" s="233">
        <f t="shared" si="110"/>
        <v>0.26992612832444063</v>
      </c>
      <c r="O77" s="342" t="s">
        <v>1167</v>
      </c>
    </row>
    <row r="78" spans="1:15" x14ac:dyDescent="0.25">
      <c r="A78" s="227" t="s">
        <v>1058</v>
      </c>
      <c r="B78" s="220" t="str">
        <f>VLOOKUP($A78,ITEMS_Tech_N!$D$6:$E$122,2,FALSE)</f>
        <v>Transport Freight - HCV9 Electricity-N</v>
      </c>
      <c r="C78" s="220" t="s">
        <v>1123</v>
      </c>
      <c r="D78" s="642" t="s">
        <v>856</v>
      </c>
      <c r="E78" s="234">
        <f t="shared" si="93"/>
        <v>6.1094566952847993</v>
      </c>
      <c r="F78" s="238">
        <f t="shared" si="111"/>
        <v>6.0911466474595732</v>
      </c>
      <c r="G78" s="234">
        <f t="shared" ref="G78:I78" si="116">F78*(1+G$4)^(G$5-F$5)</f>
        <v>5.7643047082841505</v>
      </c>
      <c r="H78" s="234">
        <f t="shared" si="116"/>
        <v>5.2131338530610405</v>
      </c>
      <c r="I78" s="234">
        <f t="shared" si="116"/>
        <v>4.7146648113299872</v>
      </c>
      <c r="J78" s="233">
        <f t="shared" si="105"/>
        <v>0.16368067569278086</v>
      </c>
      <c r="K78" s="233">
        <f t="shared" si="107"/>
        <v>0.1641727014431788</v>
      </c>
      <c r="L78" s="233">
        <f t="shared" si="108"/>
        <v>0.17348146057630393</v>
      </c>
      <c r="M78" s="233">
        <f t="shared" si="109"/>
        <v>0.19182319660041366</v>
      </c>
      <c r="N78" s="233">
        <f t="shared" si="110"/>
        <v>0.21210415586636458</v>
      </c>
      <c r="O78" s="342" t="s">
        <v>1167</v>
      </c>
    </row>
    <row r="79" spans="1:15" x14ac:dyDescent="0.25">
      <c r="A79" s="227" t="s">
        <v>1060</v>
      </c>
      <c r="B79" s="220" t="str">
        <f>VLOOKUP($A79,ITEMS_Tech_N!$D$6:$E$122,2,FALSE)</f>
        <v>Transport Freight - HCV2 Hydrogen-N</v>
      </c>
      <c r="C79" s="220" t="s">
        <v>1120</v>
      </c>
      <c r="D79" s="220" t="s">
        <v>1116</v>
      </c>
      <c r="E79" s="234">
        <f t="shared" si="93"/>
        <v>4.1569297049443827</v>
      </c>
      <c r="F79" s="643" cm="1">
        <f t="array" ref="F79">IFERROR(INDEX('AEA2012'!$AQ$6:$AQ$104,MATCH(1,('AEA2012'!$D$6:$D$104=$C79)*('AEA2012'!$E$6:$E$104=$D79),0)),"")</f>
        <v>4.1444713824617345</v>
      </c>
      <c r="G79" s="234">
        <f t="shared" ref="G79:I79" si="117">F79*(1+G$4)^(G$5-F$5)</f>
        <v>3.9220851649068189</v>
      </c>
      <c r="H79" s="234">
        <f t="shared" si="117"/>
        <v>3.5470635197996772</v>
      </c>
      <c r="I79" s="234">
        <f t="shared" si="117"/>
        <v>3.2079006662244649</v>
      </c>
      <c r="J79" s="233">
        <f t="shared" si="105"/>
        <v>0.24056216269680206</v>
      </c>
      <c r="K79" s="233">
        <f t="shared" ref="K79:K86" si="118">1/F79</f>
        <v>0.24128529496710377</v>
      </c>
      <c r="L79" s="233">
        <f t="shared" ref="L79:L86" si="119">1/G79</f>
        <v>0.25496641657544378</v>
      </c>
      <c r="M79" s="233">
        <f t="shared" ref="M79:M86" si="120">1/H79</f>
        <v>0.2819233414958624</v>
      </c>
      <c r="N79" s="233">
        <f t="shared" ref="N79:N86" si="121">1/I79</f>
        <v>0.31173035079572736</v>
      </c>
      <c r="O79" s="342" t="s">
        <v>1107</v>
      </c>
    </row>
    <row r="80" spans="1:15" x14ac:dyDescent="0.25">
      <c r="A80" s="227" t="s">
        <v>1062</v>
      </c>
      <c r="B80" s="220" t="str">
        <f>VLOOKUP($A80,ITEMS_Tech_N!$D$6:$E$122,2,FALSE)</f>
        <v>Transport Freight - HCV3 Hydrogen-N</v>
      </c>
      <c r="C80" s="220" t="s">
        <v>1120</v>
      </c>
      <c r="D80" s="220" t="s">
        <v>1116</v>
      </c>
      <c r="E80" s="234">
        <f t="shared" si="93"/>
        <v>4.1569297049443827</v>
      </c>
      <c r="F80" s="643" cm="1">
        <f t="array" ref="F80">IFERROR(INDEX('AEA2012'!$AQ$6:$AQ$104,MATCH(1,('AEA2012'!$D$6:$D$104=$C80)*('AEA2012'!$E$6:$E$104=$D80),0)),"")</f>
        <v>4.1444713824617345</v>
      </c>
      <c r="G80" s="234">
        <f t="shared" ref="G80:I80" si="122">F80*(1+G$4)^(G$5-F$5)</f>
        <v>3.9220851649068189</v>
      </c>
      <c r="H80" s="234">
        <f t="shared" si="122"/>
        <v>3.5470635197996772</v>
      </c>
      <c r="I80" s="234">
        <f t="shared" si="122"/>
        <v>3.2079006662244649</v>
      </c>
      <c r="J80" s="233">
        <f t="shared" si="105"/>
        <v>0.24056216269680206</v>
      </c>
      <c r="K80" s="233">
        <f t="shared" si="118"/>
        <v>0.24128529496710377</v>
      </c>
      <c r="L80" s="233">
        <f t="shared" si="119"/>
        <v>0.25496641657544378</v>
      </c>
      <c r="M80" s="233">
        <f t="shared" si="120"/>
        <v>0.2819233414958624</v>
      </c>
      <c r="N80" s="233">
        <f t="shared" si="121"/>
        <v>0.31173035079572736</v>
      </c>
      <c r="O80" s="342" t="s">
        <v>1107</v>
      </c>
    </row>
    <row r="81" spans="1:15" x14ac:dyDescent="0.25">
      <c r="A81" s="227" t="s">
        <v>1064</v>
      </c>
      <c r="B81" s="220" t="str">
        <f>VLOOKUP($A81,ITEMS_Tech_N!$D$6:$E$122,2,FALSE)</f>
        <v>Transport Freight - HCV4 Hydrogen-N</v>
      </c>
      <c r="C81" s="220" t="s">
        <v>1122</v>
      </c>
      <c r="D81" s="220" t="s">
        <v>1116</v>
      </c>
      <c r="E81" s="234">
        <f t="shared" si="93"/>
        <v>5.1539081705112899</v>
      </c>
      <c r="F81" s="643" cm="1">
        <f t="array" ref="F81">IFERROR(INDEX('AEA2012'!$AQ$6:$AQ$104,MATCH(1,('AEA2012'!$D$6:$D$104=$C81)*('AEA2012'!$E$6:$E$104=$D81),0)),"")</f>
        <v>5.1384619025703593</v>
      </c>
      <c r="G81" s="234">
        <f t="shared" ref="G81:I81" si="123">F81*(1+G$4)^(G$5-F$5)</f>
        <v>4.8627396207376634</v>
      </c>
      <c r="H81" s="234">
        <f t="shared" si="123"/>
        <v>4.3977745484302542</v>
      </c>
      <c r="I81" s="234">
        <f t="shared" si="123"/>
        <v>3.9772684715302606</v>
      </c>
      <c r="J81" s="233">
        <f t="shared" si="105"/>
        <v>0.194027515996816</v>
      </c>
      <c r="K81" s="233">
        <f t="shared" si="118"/>
        <v>0.1946107646530921</v>
      </c>
      <c r="L81" s="233">
        <f t="shared" si="119"/>
        <v>0.20564539292529566</v>
      </c>
      <c r="M81" s="233">
        <f t="shared" si="120"/>
        <v>0.22738773645341617</v>
      </c>
      <c r="N81" s="233">
        <f t="shared" si="121"/>
        <v>0.25142884046126468</v>
      </c>
      <c r="O81" s="342" t="s">
        <v>1107</v>
      </c>
    </row>
    <row r="82" spans="1:15" x14ac:dyDescent="0.25">
      <c r="A82" s="227" t="s">
        <v>1066</v>
      </c>
      <c r="B82" s="220" t="str">
        <f>VLOOKUP($A82,ITEMS_Tech_N!$D$6:$E$122,2,FALSE)</f>
        <v>Transport Freight - HCV5 Hydrogen-N</v>
      </c>
      <c r="C82" s="220" t="s">
        <v>1122</v>
      </c>
      <c r="D82" s="220" t="s">
        <v>1116</v>
      </c>
      <c r="E82" s="234">
        <f t="shared" si="93"/>
        <v>5.1539081705112899</v>
      </c>
      <c r="F82" s="643" cm="1">
        <f t="array" ref="F82">IFERROR(INDEX('AEA2012'!$AQ$6:$AQ$104,MATCH(1,('AEA2012'!$D$6:$D$104=$C82)*('AEA2012'!$E$6:$E$104=$D82),0)),"")</f>
        <v>5.1384619025703593</v>
      </c>
      <c r="G82" s="234">
        <f t="shared" ref="G82:I82" si="124">F82*(1+G$4)^(G$5-F$5)</f>
        <v>4.8627396207376634</v>
      </c>
      <c r="H82" s="234">
        <f t="shared" si="124"/>
        <v>4.3977745484302542</v>
      </c>
      <c r="I82" s="234">
        <f t="shared" si="124"/>
        <v>3.9772684715302606</v>
      </c>
      <c r="J82" s="233">
        <f t="shared" si="105"/>
        <v>0.194027515996816</v>
      </c>
      <c r="K82" s="233">
        <f t="shared" si="118"/>
        <v>0.1946107646530921</v>
      </c>
      <c r="L82" s="233">
        <f t="shared" si="119"/>
        <v>0.20564539292529566</v>
      </c>
      <c r="M82" s="233">
        <f t="shared" si="120"/>
        <v>0.22738773645341617</v>
      </c>
      <c r="N82" s="233">
        <f t="shared" si="121"/>
        <v>0.25142884046126468</v>
      </c>
      <c r="O82" s="342" t="s">
        <v>1107</v>
      </c>
    </row>
    <row r="83" spans="1:15" x14ac:dyDescent="0.25">
      <c r="A83" s="227" t="s">
        <v>1068</v>
      </c>
      <c r="B83" s="220" t="str">
        <f>VLOOKUP($A83,ITEMS_Tech_N!$D$6:$E$122,2,FALSE)</f>
        <v>Transport Freight - HCV6 Hydrogen-N</v>
      </c>
      <c r="C83" s="220" t="s">
        <v>1122</v>
      </c>
      <c r="D83" s="220" t="s">
        <v>1116</v>
      </c>
      <c r="E83" s="234">
        <f t="shared" si="93"/>
        <v>5.1539081705112899</v>
      </c>
      <c r="F83" s="643" cm="1">
        <f t="array" ref="F83">IFERROR(INDEX('AEA2012'!$AQ$6:$AQ$104,MATCH(1,('AEA2012'!$D$6:$D$104=$C83)*('AEA2012'!$E$6:$E$104=$D83),0)),"")</f>
        <v>5.1384619025703593</v>
      </c>
      <c r="G83" s="234">
        <f t="shared" ref="G83:I83" si="125">F83*(1+G$4)^(G$5-F$5)</f>
        <v>4.8627396207376634</v>
      </c>
      <c r="H83" s="234">
        <f t="shared" si="125"/>
        <v>4.3977745484302542</v>
      </c>
      <c r="I83" s="234">
        <f t="shared" si="125"/>
        <v>3.9772684715302606</v>
      </c>
      <c r="J83" s="233">
        <f t="shared" si="105"/>
        <v>0.194027515996816</v>
      </c>
      <c r="K83" s="233">
        <f t="shared" si="118"/>
        <v>0.1946107646530921</v>
      </c>
      <c r="L83" s="233">
        <f t="shared" si="119"/>
        <v>0.20564539292529566</v>
      </c>
      <c r="M83" s="233">
        <f t="shared" si="120"/>
        <v>0.22738773645341617</v>
      </c>
      <c r="N83" s="233">
        <f t="shared" si="121"/>
        <v>0.25142884046126468</v>
      </c>
      <c r="O83" s="342" t="s">
        <v>1107</v>
      </c>
    </row>
    <row r="84" spans="1:15" x14ac:dyDescent="0.25">
      <c r="A84" s="227" t="s">
        <v>1070</v>
      </c>
      <c r="B84" s="220" t="str">
        <f>VLOOKUP($A84,ITEMS_Tech_N!$D$6:$E$122,2,FALSE)</f>
        <v>Transport Freight - HCV7 Hydrogen-N</v>
      </c>
      <c r="C84" s="220" t="s">
        <v>1123</v>
      </c>
      <c r="D84" s="220" t="s">
        <v>1116</v>
      </c>
      <c r="E84" s="234">
        <f t="shared" si="93"/>
        <v>5.6414833653319736</v>
      </c>
      <c r="F84" s="643" cm="1">
        <f t="array" ref="F84">IFERROR(INDEX('AEA2012'!$AQ$6:$AQ$104,MATCH(1,('AEA2012'!$D$6:$D$104=$C84)*('AEA2012'!$E$6:$E$104=$D84),0)),"")</f>
        <v>5.6245758340445899</v>
      </c>
      <c r="G84" s="234">
        <f t="shared" ref="G84:I84" si="126">F84*(1+G$4)^(G$5-F$5)</f>
        <v>5.3227693961048512</v>
      </c>
      <c r="H84" s="234">
        <f t="shared" si="126"/>
        <v>4.8138172312426653</v>
      </c>
      <c r="I84" s="234">
        <f t="shared" si="126"/>
        <v>4.3535300163043784</v>
      </c>
      <c r="J84" s="233">
        <f t="shared" si="105"/>
        <v>0.17725834416976161</v>
      </c>
      <c r="K84" s="233">
        <f t="shared" si="118"/>
        <v>0.17779118452758197</v>
      </c>
      <c r="L84" s="233">
        <f t="shared" si="119"/>
        <v>0.18787212550139593</v>
      </c>
      <c r="M84" s="233">
        <f t="shared" si="120"/>
        <v>0.20773534846935901</v>
      </c>
      <c r="N84" s="233">
        <f t="shared" si="121"/>
        <v>0.22969865746989365</v>
      </c>
      <c r="O84" s="342" t="s">
        <v>1107</v>
      </c>
    </row>
    <row r="85" spans="1:15" x14ac:dyDescent="0.25">
      <c r="A85" s="227" t="s">
        <v>1072</v>
      </c>
      <c r="B85" s="220" t="str">
        <f>VLOOKUP($A85,ITEMS_Tech_N!$D$6:$E$122,2,FALSE)</f>
        <v>Transport Freight - HCV8 Hydrogen-N</v>
      </c>
      <c r="C85" s="220" t="s">
        <v>1123</v>
      </c>
      <c r="D85" s="220" t="s">
        <v>1116</v>
      </c>
      <c r="E85" s="234">
        <f t="shared" si="93"/>
        <v>5.6414833653319736</v>
      </c>
      <c r="F85" s="643" cm="1">
        <f t="array" ref="F85">IFERROR(INDEX('AEA2012'!$AQ$6:$AQ$104,MATCH(1,('AEA2012'!$D$6:$D$104=$C85)*('AEA2012'!$E$6:$E$104=$D85),0)),"")</f>
        <v>5.6245758340445899</v>
      </c>
      <c r="G85" s="234">
        <f t="shared" ref="G85:I85" si="127">F85*(1+G$4)^(G$5-F$5)</f>
        <v>5.3227693961048512</v>
      </c>
      <c r="H85" s="234">
        <f t="shared" si="127"/>
        <v>4.8138172312426653</v>
      </c>
      <c r="I85" s="234">
        <f t="shared" si="127"/>
        <v>4.3535300163043784</v>
      </c>
      <c r="J85" s="233">
        <f t="shared" si="105"/>
        <v>0.17725834416976161</v>
      </c>
      <c r="K85" s="233">
        <f t="shared" si="118"/>
        <v>0.17779118452758197</v>
      </c>
      <c r="L85" s="233">
        <f t="shared" si="119"/>
        <v>0.18787212550139593</v>
      </c>
      <c r="M85" s="233">
        <f t="shared" si="120"/>
        <v>0.20773534846935901</v>
      </c>
      <c r="N85" s="233">
        <f t="shared" si="121"/>
        <v>0.22969865746989365</v>
      </c>
      <c r="O85" s="342" t="s">
        <v>1107</v>
      </c>
    </row>
    <row r="86" spans="1:15" x14ac:dyDescent="0.25">
      <c r="A86" s="227" t="s">
        <v>1074</v>
      </c>
      <c r="B86" s="220" t="str">
        <f>VLOOKUP($A86,ITEMS_Tech_N!$D$6:$E$122,2,FALSE)</f>
        <v>Transport Freight - HCV9 Hydrogen-N</v>
      </c>
      <c r="C86" s="220" t="s">
        <v>1123</v>
      </c>
      <c r="D86" s="220" t="s">
        <v>1116</v>
      </c>
      <c r="E86" s="234">
        <f t="shared" si="93"/>
        <v>5.6414833653319736</v>
      </c>
      <c r="F86" s="643" cm="1">
        <f t="array" ref="F86">IFERROR(INDEX('AEA2012'!$AQ$6:$AQ$104,MATCH(1,('AEA2012'!$D$6:$D$104=$C86)*('AEA2012'!$E$6:$E$104=$D86),0)),"")</f>
        <v>5.6245758340445899</v>
      </c>
      <c r="G86" s="234">
        <f t="shared" ref="G86:I86" si="128">F86*(1+G$4)^(G$5-F$5)</f>
        <v>5.3227693961048512</v>
      </c>
      <c r="H86" s="234">
        <f t="shared" si="128"/>
        <v>4.8138172312426653</v>
      </c>
      <c r="I86" s="234">
        <f t="shared" si="128"/>
        <v>4.3535300163043784</v>
      </c>
      <c r="J86" s="233">
        <f t="shared" si="105"/>
        <v>0.17725834416976161</v>
      </c>
      <c r="K86" s="233">
        <f t="shared" si="118"/>
        <v>0.17779118452758197</v>
      </c>
      <c r="L86" s="233">
        <f t="shared" si="119"/>
        <v>0.18787212550139593</v>
      </c>
      <c r="M86" s="233">
        <f t="shared" si="120"/>
        <v>0.20773534846935901</v>
      </c>
      <c r="N86" s="233">
        <f t="shared" si="121"/>
        <v>0.22969865746989365</v>
      </c>
      <c r="O86" s="342" t="s">
        <v>1107</v>
      </c>
    </row>
    <row r="87" spans="1:15" x14ac:dyDescent="0.25">
      <c r="A87" s="227" t="s">
        <v>1076</v>
      </c>
      <c r="B87" s="220" t="e">
        <f>VLOOKUP($A87,ITEMS_Tech_N!$D$6:$E$122,2,FALSE)</f>
        <v>#N/A</v>
      </c>
      <c r="C87" s="220"/>
      <c r="D87" s="220"/>
      <c r="E87" s="238">
        <f>E88*E72/E63</f>
        <v>6.7623570251936521E-2</v>
      </c>
      <c r="F87" s="233">
        <f>E87</f>
        <v>6.7623570251936521E-2</v>
      </c>
      <c r="G87" s="233">
        <f t="shared" ref="G87:I88" si="129">F87</f>
        <v>6.7623570251936521E-2</v>
      </c>
      <c r="H87" s="233">
        <f t="shared" si="129"/>
        <v>6.7623570251936521E-2</v>
      </c>
      <c r="I87" s="233">
        <f t="shared" si="129"/>
        <v>6.7623570251936521E-2</v>
      </c>
      <c r="J87" s="233">
        <f t="shared" si="105"/>
        <v>14.787743330830173</v>
      </c>
      <c r="K87" s="233">
        <f t="shared" ref="K87:K90" si="130">1/F87</f>
        <v>14.787743330830173</v>
      </c>
      <c r="L87" s="233">
        <f t="shared" ref="L87:L90" si="131">1/G87</f>
        <v>14.787743330830173</v>
      </c>
      <c r="M87" s="233">
        <f t="shared" ref="M87:M90" si="132">1/H87</f>
        <v>14.787743330830173</v>
      </c>
      <c r="N87" s="233">
        <f t="shared" ref="N87:N90" si="133">1/I87</f>
        <v>14.787743330830173</v>
      </c>
      <c r="O87" s="342" t="s">
        <v>1168</v>
      </c>
    </row>
    <row r="88" spans="1:15" x14ac:dyDescent="0.25">
      <c r="A88" s="227" t="s">
        <v>1078</v>
      </c>
      <c r="B88" s="220" t="str">
        <f>VLOOKUP($A88,ITEMS_Tech_N!$D$6:$E$122,2,FALSE)</f>
        <v>Transport Freight - Rail Corridor Electricity-N</v>
      </c>
      <c r="C88" s="220"/>
      <c r="D88" s="220"/>
      <c r="E88" s="392">
        <f>IFERROR(1/INDEX('EFF-E_ANTC'!$D$4:$D$47,MATCH($A88,'EFF-E_ANTC'!$J$4:$J$47,0)),"")</f>
        <v>0.24822875061657648</v>
      </c>
      <c r="F88" s="233">
        <f>E88</f>
        <v>0.24822875061657648</v>
      </c>
      <c r="G88" s="233">
        <f t="shared" si="129"/>
        <v>0.24822875061657648</v>
      </c>
      <c r="H88" s="233">
        <f t="shared" si="129"/>
        <v>0.24822875061657648</v>
      </c>
      <c r="I88" s="233">
        <f t="shared" si="129"/>
        <v>0.24822875061657648</v>
      </c>
      <c r="J88" s="233">
        <f t="shared" si="105"/>
        <v>4.0285422116338081</v>
      </c>
      <c r="K88" s="233">
        <f t="shared" si="130"/>
        <v>4.0285422116338081</v>
      </c>
      <c r="L88" s="233">
        <f t="shared" si="131"/>
        <v>4.0285422116338081</v>
      </c>
      <c r="M88" s="233">
        <f t="shared" si="132"/>
        <v>4.0285422116338081</v>
      </c>
      <c r="N88" s="233">
        <f t="shared" si="133"/>
        <v>4.0285422116338081</v>
      </c>
      <c r="O88" s="342" t="s">
        <v>851</v>
      </c>
    </row>
    <row r="89" spans="1:15" x14ac:dyDescent="0.25">
      <c r="A89" s="227" t="s">
        <v>1080</v>
      </c>
      <c r="B89" s="220" t="str">
        <f>VLOOKUP($A89,ITEMS_Tech_N!$D$6:$E$122,2,FALSE)</f>
        <v>Transport Freight - Rail Other Electricity-N</v>
      </c>
      <c r="C89" s="220"/>
      <c r="D89" s="220"/>
      <c r="E89" s="238">
        <f>E88</f>
        <v>0.24822875061657648</v>
      </c>
      <c r="F89" s="233">
        <f t="shared" ref="F89:I89" si="134">E89</f>
        <v>0.24822875061657648</v>
      </c>
      <c r="G89" s="233">
        <f t="shared" si="134"/>
        <v>0.24822875061657648</v>
      </c>
      <c r="H89" s="233">
        <f t="shared" si="134"/>
        <v>0.24822875061657648</v>
      </c>
      <c r="I89" s="233">
        <f t="shared" si="134"/>
        <v>0.24822875061657648</v>
      </c>
      <c r="J89" s="233">
        <f t="shared" si="105"/>
        <v>4.0285422116338081</v>
      </c>
      <c r="K89" s="233">
        <f t="shared" si="130"/>
        <v>4.0285422116338081</v>
      </c>
      <c r="L89" s="233">
        <f t="shared" si="131"/>
        <v>4.0285422116338081</v>
      </c>
      <c r="M89" s="233">
        <f t="shared" si="132"/>
        <v>4.0285422116338081</v>
      </c>
      <c r="N89" s="233">
        <f t="shared" si="133"/>
        <v>4.0285422116338081</v>
      </c>
      <c r="O89" s="342" t="s">
        <v>1169</v>
      </c>
    </row>
    <row r="90" spans="1:15" x14ac:dyDescent="0.25">
      <c r="A90" s="227" t="s">
        <v>1082</v>
      </c>
      <c r="B90" s="220" t="str">
        <f>VLOOKUP($A90,ITEMS_Tech_N!$D$6:$E$122,2,FALSE)</f>
        <v>Transport Freight - Rail Export (bulk mining) Electricity-N</v>
      </c>
      <c r="C90" s="220"/>
      <c r="D90" s="220"/>
      <c r="E90" s="238">
        <f>E88</f>
        <v>0.24822875061657648</v>
      </c>
      <c r="F90" s="233">
        <f t="shared" ref="F90:I90" si="135">E90</f>
        <v>0.24822875061657648</v>
      </c>
      <c r="G90" s="233">
        <f t="shared" si="135"/>
        <v>0.24822875061657648</v>
      </c>
      <c r="H90" s="233">
        <f t="shared" si="135"/>
        <v>0.24822875061657648</v>
      </c>
      <c r="I90" s="233">
        <f t="shared" si="135"/>
        <v>0.24822875061657648</v>
      </c>
      <c r="J90" s="233">
        <f t="shared" si="105"/>
        <v>4.0285422116338081</v>
      </c>
      <c r="K90" s="233">
        <f t="shared" si="130"/>
        <v>4.0285422116338081</v>
      </c>
      <c r="L90" s="233">
        <f t="shared" si="131"/>
        <v>4.0285422116338081</v>
      </c>
      <c r="M90" s="233">
        <f t="shared" si="132"/>
        <v>4.0285422116338081</v>
      </c>
      <c r="N90" s="233">
        <f t="shared" si="133"/>
        <v>4.0285422116338081</v>
      </c>
      <c r="O90" s="342"/>
    </row>
    <row r="91" spans="1:15" x14ac:dyDescent="0.25">
      <c r="A91" s="227" t="s">
        <v>1084</v>
      </c>
      <c r="B91" s="220" t="str">
        <f>VLOOKUP($A91,ITEMS_Tech_N!$D$6:$E$122,2,FALSE)</f>
        <v>Transport Other - Pipeline Electricity-N</v>
      </c>
      <c r="C91" s="220"/>
      <c r="D91" s="220"/>
      <c r="E91" s="233">
        <v>1</v>
      </c>
      <c r="F91" s="233">
        <v>1</v>
      </c>
      <c r="G91" s="233">
        <v>1</v>
      </c>
      <c r="H91" s="233">
        <v>1</v>
      </c>
      <c r="I91" s="233">
        <v>1</v>
      </c>
      <c r="J91" s="233">
        <v>1</v>
      </c>
      <c r="K91" s="233">
        <v>1</v>
      </c>
      <c r="L91" s="233">
        <v>1</v>
      </c>
      <c r="M91" s="233">
        <v>1</v>
      </c>
      <c r="N91" s="233">
        <v>1</v>
      </c>
      <c r="O91" s="342"/>
    </row>
    <row r="92" spans="1:15" x14ac:dyDescent="0.25">
      <c r="A92" s="227" t="s">
        <v>1086</v>
      </c>
      <c r="B92" s="220" t="str">
        <f>VLOOKUP($A92,ITEMS_Tech_N!$D$6:$E$122,2,FALSE)</f>
        <v>Transport Other -  Aviation Int Jet Fuel  Oil Jet Fuel-N</v>
      </c>
      <c r="C92" s="220"/>
      <c r="D92" s="220"/>
      <c r="E92" s="233">
        <v>1</v>
      </c>
      <c r="F92" s="233">
        <v>1</v>
      </c>
      <c r="G92" s="233">
        <v>1</v>
      </c>
      <c r="H92" s="233">
        <v>1</v>
      </c>
      <c r="I92" s="233">
        <v>1</v>
      </c>
      <c r="J92" s="233">
        <v>1</v>
      </c>
      <c r="K92" s="233">
        <v>1</v>
      </c>
      <c r="L92" s="233">
        <v>1</v>
      </c>
      <c r="M92" s="233">
        <v>1</v>
      </c>
      <c r="N92" s="233">
        <v>1</v>
      </c>
      <c r="O92" s="342"/>
    </row>
    <row r="93" spans="1:15" x14ac:dyDescent="0.25">
      <c r="A93" s="227" t="s">
        <v>1088</v>
      </c>
      <c r="B93" s="220" t="str">
        <f>VLOOKUP($A93,ITEMS_Tech_N!$D$6:$E$122,2,FALSE)</f>
        <v>Transport Other -  Aviation Dom Jet Fuel  Oil Jet Fuel-N</v>
      </c>
      <c r="C93" s="220"/>
      <c r="D93" s="220"/>
      <c r="E93" s="233">
        <v>1</v>
      </c>
      <c r="F93" s="233">
        <v>1</v>
      </c>
      <c r="G93" s="233">
        <v>1</v>
      </c>
      <c r="H93" s="233">
        <v>1</v>
      </c>
      <c r="I93" s="233">
        <v>1</v>
      </c>
      <c r="J93" s="233">
        <v>1</v>
      </c>
      <c r="K93" s="233">
        <v>1</v>
      </c>
      <c r="L93" s="233">
        <v>1</v>
      </c>
      <c r="M93" s="233">
        <v>1</v>
      </c>
      <c r="N93" s="233">
        <v>1</v>
      </c>
      <c r="O93" s="342"/>
    </row>
    <row r="94" spans="1:15" x14ac:dyDescent="0.25">
      <c r="A94" s="227" t="s">
        <v>1090</v>
      </c>
      <c r="B94" s="220" t="str">
        <f>VLOOKUP($A94,ITEMS_Tech_N!$D$6:$E$122,2,FALSE)</f>
        <v>Transport Other - Aviation Gasoline T-N</v>
      </c>
      <c r="C94" s="220"/>
      <c r="D94" s="220"/>
      <c r="E94" s="233">
        <v>1</v>
      </c>
      <c r="F94" s="233">
        <v>1</v>
      </c>
      <c r="G94" s="233">
        <v>1</v>
      </c>
      <c r="H94" s="233">
        <v>1</v>
      </c>
      <c r="I94" s="233">
        <v>1</v>
      </c>
      <c r="J94" s="233">
        <v>1</v>
      </c>
      <c r="K94" s="233">
        <v>1</v>
      </c>
      <c r="L94" s="233">
        <v>1</v>
      </c>
      <c r="M94" s="233">
        <v>1</v>
      </c>
      <c r="N94" s="233">
        <v>1</v>
      </c>
      <c r="O94" s="342"/>
    </row>
    <row r="95" spans="1:15" x14ac:dyDescent="0.25">
      <c r="A95" s="227" t="s">
        <v>1092</v>
      </c>
      <c r="B95" s="220" t="str">
        <f>VLOOKUP($A95,ITEMS_Tech_N!$D$6:$E$122,2,FALSE)</f>
        <v>Transport Other - HFO Oil HFO-N</v>
      </c>
      <c r="C95" s="220"/>
      <c r="D95" s="220"/>
      <c r="E95" s="233">
        <v>1</v>
      </c>
      <c r="F95" s="233">
        <v>1</v>
      </c>
      <c r="G95" s="233">
        <v>1</v>
      </c>
      <c r="H95" s="233">
        <v>1</v>
      </c>
      <c r="I95" s="233">
        <v>1</v>
      </c>
      <c r="J95" s="233">
        <v>1</v>
      </c>
      <c r="K95" s="233">
        <v>1</v>
      </c>
      <c r="L95" s="233">
        <v>1</v>
      </c>
      <c r="M95" s="233">
        <v>1</v>
      </c>
      <c r="N95" s="233">
        <v>1</v>
      </c>
      <c r="O95" s="342"/>
    </row>
    <row r="96" spans="1:15" x14ac:dyDescent="0.25">
      <c r="A96" s="227"/>
      <c r="B96" s="220"/>
      <c r="C96" s="220"/>
      <c r="D96" s="220"/>
      <c r="E96" s="233"/>
      <c r="F96" s="233"/>
      <c r="G96" s="233"/>
      <c r="H96" s="233"/>
      <c r="I96" s="233"/>
      <c r="J96" s="233"/>
      <c r="K96" s="233"/>
      <c r="L96" s="233"/>
      <c r="M96" s="233"/>
      <c r="N96" s="233"/>
      <c r="O96" s="342"/>
    </row>
    <row r="97" spans="1:1" x14ac:dyDescent="0.25">
      <c r="A97" t="s">
        <v>504</v>
      </c>
    </row>
    <row r="98" spans="1:1" x14ac:dyDescent="0.25">
      <c r="A98" t="s">
        <v>504</v>
      </c>
    </row>
  </sheetData>
  <autoFilter ref="A5:O98" xr:uid="{AF342687-D08A-4044-AF12-E12BC3AD0BD7}"/>
  <phoneticPr fontId="84" type="noConversion"/>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EE19C7-A18B-4114-AA06-20EA8DABAA63}">
  <sheetPr>
    <tabColor theme="7" tint="0.59999389629810485"/>
  </sheetPr>
  <dimension ref="A1:D98"/>
  <sheetViews>
    <sheetView workbookViewId="0"/>
  </sheetViews>
  <sheetFormatPr defaultRowHeight="15" x14ac:dyDescent="0.25"/>
  <cols>
    <col min="1" max="1" width="24.5703125" customWidth="1"/>
    <col min="2" max="2" width="61.85546875" customWidth="1"/>
    <col min="3" max="3" width="11.42578125" customWidth="1"/>
    <col min="4" max="4" width="39.5703125" customWidth="1"/>
  </cols>
  <sheetData>
    <row r="1" spans="1:4" ht="18" thickBot="1" x14ac:dyDescent="0.35">
      <c r="A1" s="1" t="s">
        <v>1175</v>
      </c>
      <c r="C1" t="s">
        <v>807</v>
      </c>
    </row>
    <row r="2" spans="1:4" ht="15.75" thickTop="1" x14ac:dyDescent="0.25"/>
    <row r="5" spans="1:4" ht="15.75" thickBot="1" x14ac:dyDescent="0.3">
      <c r="A5" s="644" t="s">
        <v>1</v>
      </c>
      <c r="B5" s="644" t="s">
        <v>548</v>
      </c>
      <c r="C5" s="644" t="s">
        <v>232</v>
      </c>
      <c r="D5" s="644" t="s">
        <v>1165</v>
      </c>
    </row>
    <row r="6" spans="1:4" x14ac:dyDescent="0.25">
      <c r="A6" s="227" t="s">
        <v>921</v>
      </c>
      <c r="B6" s="220" t="str">
        <f>VLOOKUP($A6,ITEMS_Tech_N!$D$6:$E$122,2,FALSE)</f>
        <v>Transport Passenger SUV Priv.Veh. Oil Diesel-N</v>
      </c>
      <c r="C6" s="653">
        <f>IFERROR(INDEX('AFA-E_ANTC'!$P$5:$P$48,MATCH($A6,'AFA-E_ANTC'!$R$4:$R$48,0)),"")</f>
        <v>2.4E-2</v>
      </c>
      <c r="D6" s="342" t="s">
        <v>1166</v>
      </c>
    </row>
    <row r="7" spans="1:4" x14ac:dyDescent="0.25">
      <c r="A7" s="227" t="s">
        <v>924</v>
      </c>
      <c r="B7" s="220" t="str">
        <f>VLOOKUP($A7,ITEMS_Tech_N!$D$6:$E$122,2,FALSE)</f>
        <v>Transport Passenger SUV Priv.Veh. Oil Gasoline-N</v>
      </c>
      <c r="C7" s="653">
        <f>IFERROR(INDEX('AFA-E_ANTC'!$P$5:$P$48,MATCH($A7,'AFA-E_ANTC'!$R$4:$R$48,0)),"")</f>
        <v>2.4E-2</v>
      </c>
      <c r="D7" s="342" t="s">
        <v>1166</v>
      </c>
    </row>
    <row r="8" spans="1:4" x14ac:dyDescent="0.25">
      <c r="A8" s="227" t="s">
        <v>926</v>
      </c>
      <c r="B8" s="220" t="e">
        <f>VLOOKUP($A8,ITEMS_Tech_N!$D$6:$E$122,2,FALSE)</f>
        <v>#N/A</v>
      </c>
      <c r="C8" s="238">
        <f>C7</f>
        <v>2.4E-2</v>
      </c>
      <c r="D8" s="238" t="s">
        <v>1177</v>
      </c>
    </row>
    <row r="9" spans="1:4" x14ac:dyDescent="0.25">
      <c r="A9" s="227" t="s">
        <v>928</v>
      </c>
      <c r="B9" s="220" t="str">
        <f>VLOOKUP($A9,ITEMS_Tech_N!$D$6:$E$122,2,FALSE)</f>
        <v>Transport Passenger SUV Priv.Veh. Oil Gasoline Hybrid-N</v>
      </c>
      <c r="C9" s="653">
        <f>IFERROR(INDEX('AFA-E_ANTC'!$P$5:$P$48,MATCH($A9,'AFA-E_ANTC'!$R$4:$R$48,0)),"")</f>
        <v>2.4E-2</v>
      </c>
      <c r="D9" s="342" t="s">
        <v>1166</v>
      </c>
    </row>
    <row r="10" spans="1:4" x14ac:dyDescent="0.25">
      <c r="A10" s="227" t="s">
        <v>1327</v>
      </c>
      <c r="B10" s="220" t="str">
        <f>VLOOKUP($A10,ITEMS_Tech_N!$D$6:$E$122,2,FALSE)</f>
        <v>Transport Passenger SUV Priv.Veh. Oil Gasoline Plug-in Hybrid-N</v>
      </c>
      <c r="C10" s="238">
        <f>C9</f>
        <v>2.4E-2</v>
      </c>
      <c r="D10" s="238" t="s">
        <v>1177</v>
      </c>
    </row>
    <row r="11" spans="1:4" x14ac:dyDescent="0.25">
      <c r="A11" s="227" t="s">
        <v>930</v>
      </c>
      <c r="B11" s="220" t="e">
        <f>VLOOKUP($A11,ITEMS_Tech_N!$D$6:$E$122,2,FALSE)</f>
        <v>#N/A</v>
      </c>
      <c r="C11" s="238">
        <f>C9</f>
        <v>2.4E-2</v>
      </c>
      <c r="D11" s="238" t="s">
        <v>1177</v>
      </c>
    </row>
    <row r="12" spans="1:4" x14ac:dyDescent="0.25">
      <c r="A12" s="227" t="s">
        <v>932</v>
      </c>
      <c r="B12" s="220" t="str">
        <f>VLOOKUP($A12,ITEMS_Tech_N!$D$6:$E$122,2,FALSE)</f>
        <v>Transport Passenger SUV Priv.Veh. Hydrogen Fuel Cell-N</v>
      </c>
      <c r="C12" s="238">
        <f>C11</f>
        <v>2.4E-2</v>
      </c>
      <c r="D12" s="238" t="s">
        <v>1177</v>
      </c>
    </row>
    <row r="13" spans="1:4" x14ac:dyDescent="0.25">
      <c r="A13" s="227" t="s">
        <v>934</v>
      </c>
      <c r="B13" s="220" t="e">
        <f>VLOOKUP($A13,ITEMS_Tech_N!$D$6:$E$122,2,FALSE)</f>
        <v>#N/A</v>
      </c>
      <c r="C13" s="238">
        <f>C12</f>
        <v>2.4E-2</v>
      </c>
      <c r="D13" s="238" t="s">
        <v>1177</v>
      </c>
    </row>
    <row r="14" spans="1:4" x14ac:dyDescent="0.25">
      <c r="A14" s="227" t="s">
        <v>936</v>
      </c>
      <c r="B14" s="220" t="str">
        <f>VLOOKUP($A14,ITEMS_Tech_N!$D$6:$E$122,2,FALSE)</f>
        <v>Transport Passenger SUV Priv.Veh. Electricity-N</v>
      </c>
      <c r="C14" s="653">
        <f>IFERROR(INDEX('AFA-E_ANTC'!$P$5:$P$48,MATCH($A14,'AFA-E_ANTC'!$R$4:$R$48,0)),"")</f>
        <v>2.4E-2</v>
      </c>
      <c r="D14" s="342" t="s">
        <v>1166</v>
      </c>
    </row>
    <row r="15" spans="1:4" x14ac:dyDescent="0.25">
      <c r="A15" s="227" t="s">
        <v>938</v>
      </c>
      <c r="B15" s="220" t="str">
        <f>VLOOKUP($A15,ITEMS_Tech_N!$D$6:$E$122,2,FALSE)</f>
        <v>Transport Passenger Car Priv.Veh. Oil Diesel-N</v>
      </c>
      <c r="C15" s="653">
        <f>IFERROR(INDEX('AFA-E_ANTC'!$P$5:$P$48,MATCH($A15,'AFA-E_ANTC'!$R$4:$R$48,0)),"")</f>
        <v>2.2499999999999999E-2</v>
      </c>
      <c r="D15" s="342" t="s">
        <v>1166</v>
      </c>
    </row>
    <row r="16" spans="1:4" x14ac:dyDescent="0.25">
      <c r="A16" s="227" t="s">
        <v>940</v>
      </c>
      <c r="B16" s="220" t="str">
        <f>VLOOKUP($A16,ITEMS_Tech_N!$D$6:$E$122,2,FALSE)</f>
        <v>Transport Passenger Car Priv.Veh. Oil Gasoline-N</v>
      </c>
      <c r="C16" s="653">
        <f>IFERROR(INDEX('AFA-E_ANTC'!$P$5:$P$48,MATCH($A16,'AFA-E_ANTC'!$R$4:$R$48,0)),"")</f>
        <v>1.9099999999999999E-2</v>
      </c>
      <c r="D16" s="342" t="s">
        <v>1166</v>
      </c>
    </row>
    <row r="17" spans="1:4" x14ac:dyDescent="0.25">
      <c r="A17" s="227" t="s">
        <v>942</v>
      </c>
      <c r="B17" s="220" t="e">
        <f>VLOOKUP($A17,ITEMS_Tech_N!$D$6:$E$122,2,FALSE)</f>
        <v>#N/A</v>
      </c>
      <c r="C17" s="653">
        <f>IFERROR(INDEX('AFA-E_ANTC'!$P$5:$P$48,MATCH($A17,'AFA-E_ANTC'!$R$4:$R$48,0)),"")</f>
        <v>2.2499999999999999E-2</v>
      </c>
      <c r="D17" s="342" t="s">
        <v>1166</v>
      </c>
    </row>
    <row r="18" spans="1:4" x14ac:dyDescent="0.25">
      <c r="A18" s="227" t="s">
        <v>944</v>
      </c>
      <c r="B18" s="220" t="str">
        <f>VLOOKUP($A18,ITEMS_Tech_N!$D$6:$E$122,2,FALSE)</f>
        <v>Transport Passenger Car Priv.Veh. Oil Gasoline Hybrid-N</v>
      </c>
      <c r="C18" s="653">
        <f>C16</f>
        <v>1.9099999999999999E-2</v>
      </c>
      <c r="D18" s="342" t="s">
        <v>1166</v>
      </c>
    </row>
    <row r="19" spans="1:4" x14ac:dyDescent="0.25">
      <c r="A19" s="227" t="s">
        <v>1329</v>
      </c>
      <c r="B19" s="220" t="str">
        <f>VLOOKUP($A19,ITEMS_Tech_N!$D$6:$E$122,2,FALSE)</f>
        <v>Transport Passenger Car Priv.Veh. Oil Gasoline Plug-in Hybrid-N</v>
      </c>
      <c r="C19" s="238">
        <f>C16</f>
        <v>1.9099999999999999E-2</v>
      </c>
      <c r="D19" s="238" t="s">
        <v>1178</v>
      </c>
    </row>
    <row r="20" spans="1:4" x14ac:dyDescent="0.25">
      <c r="A20" s="227" t="s">
        <v>946</v>
      </c>
      <c r="B20" s="220" t="str">
        <f>VLOOKUP($A20,ITEMS_Tech_N!$D$6:$E$122,2,FALSE)</f>
        <v>Transport Passenger Car Priv.Veh. Electricity-N</v>
      </c>
      <c r="C20" s="238">
        <f>C16</f>
        <v>1.9099999999999999E-2</v>
      </c>
      <c r="D20" s="238" t="s">
        <v>1178</v>
      </c>
    </row>
    <row r="21" spans="1:4" x14ac:dyDescent="0.25">
      <c r="A21" s="227" t="s">
        <v>948</v>
      </c>
      <c r="B21" s="220" t="e">
        <f>VLOOKUP($A21,ITEMS_Tech_N!$D$6:$E$122,2,FALSE)</f>
        <v>#N/A</v>
      </c>
      <c r="C21" s="238">
        <f>C20</f>
        <v>1.9099999999999999E-2</v>
      </c>
      <c r="D21" s="238" t="s">
        <v>1178</v>
      </c>
    </row>
    <row r="22" spans="1:4" x14ac:dyDescent="0.25">
      <c r="A22" s="227" t="s">
        <v>950</v>
      </c>
      <c r="B22" s="220" t="str">
        <f>VLOOKUP($A22,ITEMS_Tech_N!$D$6:$E$122,2,FALSE)</f>
        <v>Transport Passenger Car Priv.Veh. Hydrogen Fuel Cell-N</v>
      </c>
      <c r="C22" s="238">
        <f>C21</f>
        <v>1.9099999999999999E-2</v>
      </c>
      <c r="D22" s="238" t="s">
        <v>1178</v>
      </c>
    </row>
    <row r="23" spans="1:4" x14ac:dyDescent="0.25">
      <c r="A23" s="227" t="s">
        <v>952</v>
      </c>
      <c r="B23" s="220" t="e">
        <f>VLOOKUP($A23,ITEMS_Tech_N!$D$6:$E$122,2,FALSE)</f>
        <v>#N/A</v>
      </c>
      <c r="C23" s="238">
        <f>C22</f>
        <v>1.9099999999999999E-2</v>
      </c>
      <c r="D23" s="238" t="s">
        <v>1178</v>
      </c>
    </row>
    <row r="24" spans="1:4" x14ac:dyDescent="0.25">
      <c r="A24" s="227" t="s">
        <v>392</v>
      </c>
      <c r="B24" s="220" t="str">
        <f>VLOOKUP($A24,ITEMS_Tech_N!$D$6:$E$122,2,FALSE)</f>
        <v>Transport Passenger Moto Priv.Veh. Oil Gasoline-N</v>
      </c>
      <c r="C24" s="653">
        <f>IFERROR(INDEX('AFA-E_ANTC'!$P$5:$P$48,MATCH($A24,'AFA-E_ANTC'!$R$4:$R$48,0)),"")</f>
        <v>1.4999999999999999E-2</v>
      </c>
      <c r="D24" s="342" t="s">
        <v>1166</v>
      </c>
    </row>
    <row r="25" spans="1:4" x14ac:dyDescent="0.25">
      <c r="A25" s="227" t="s">
        <v>955</v>
      </c>
      <c r="B25" s="220" t="str">
        <f>VLOOKUP($A25,ITEMS_Tech_N!$D$6:$E$122,2,FALSE)</f>
        <v>Transport Passenger Moto Priv.Veh. Electricity-N</v>
      </c>
      <c r="C25" s="238">
        <f>C24</f>
        <v>1.4999999999999999E-2</v>
      </c>
      <c r="D25" s="238" t="s">
        <v>1182</v>
      </c>
    </row>
    <row r="26" spans="1:4" x14ac:dyDescent="0.25">
      <c r="A26" s="227" t="s">
        <v>957</v>
      </c>
      <c r="B26" s="220" t="str">
        <f>VLOOKUP($A26,ITEMS_Tech_N!$D$6:$E$122,2,FALSE)</f>
        <v>Transport Passenger Bus Oil Diesel-N</v>
      </c>
      <c r="C26" s="653">
        <f>IFERROR(INDEX('AFA-E_ANTC'!$P$5:$P$48,MATCH($A26,'AFA-E_ANTC'!$R$4:$R$48,0)),"")</f>
        <v>0.06</v>
      </c>
      <c r="D26" s="342" t="s">
        <v>1166</v>
      </c>
    </row>
    <row r="27" spans="1:4" x14ac:dyDescent="0.25">
      <c r="A27" s="227" t="s">
        <v>959</v>
      </c>
      <c r="B27" s="220" t="e">
        <f>VLOOKUP($A27,ITEMS_Tech_N!$D$6:$E$122,2,FALSE)</f>
        <v>#N/A</v>
      </c>
      <c r="C27" s="238">
        <f>C26</f>
        <v>0.06</v>
      </c>
      <c r="D27" s="238" t="s">
        <v>1183</v>
      </c>
    </row>
    <row r="28" spans="1:4" x14ac:dyDescent="0.25">
      <c r="A28" s="227" t="s">
        <v>961</v>
      </c>
      <c r="B28" s="220" t="str">
        <f>VLOOKUP($A28,ITEMS_Tech_N!$D$6:$E$122,2,FALSE)</f>
        <v>Transport Passenger Bus Hydrogen Fuel Cell-N</v>
      </c>
      <c r="C28" s="238">
        <f t="shared" ref="C28:C30" si="0">C27</f>
        <v>0.06</v>
      </c>
      <c r="D28" s="238" t="s">
        <v>1183</v>
      </c>
    </row>
    <row r="29" spans="1:4" x14ac:dyDescent="0.25">
      <c r="A29" s="227" t="s">
        <v>963</v>
      </c>
      <c r="B29" s="220" t="e">
        <f>VLOOKUP($A29,ITEMS_Tech_N!$D$6:$E$122,2,FALSE)</f>
        <v>#N/A</v>
      </c>
      <c r="C29" s="238">
        <f t="shared" si="0"/>
        <v>0.06</v>
      </c>
      <c r="D29" s="238" t="s">
        <v>1183</v>
      </c>
    </row>
    <row r="30" spans="1:4" x14ac:dyDescent="0.25">
      <c r="A30" s="227" t="s">
        <v>965</v>
      </c>
      <c r="B30" s="220" t="str">
        <f>VLOOKUP($A30,ITEMS_Tech_N!$D$6:$E$122,2,FALSE)</f>
        <v>Transport Passenger Bus Electricity-N</v>
      </c>
      <c r="C30" s="238">
        <f t="shared" si="0"/>
        <v>0.06</v>
      </c>
      <c r="D30" s="238" t="s">
        <v>1183</v>
      </c>
    </row>
    <row r="31" spans="1:4" x14ac:dyDescent="0.25">
      <c r="A31" s="227" t="s">
        <v>967</v>
      </c>
      <c r="B31" s="220" t="str">
        <f>VLOOKUP($A31,ITEMS_Tech_N!$D$6:$E$122,2,FALSE)</f>
        <v>Transport Passenger Minibus Oil Diesel-N</v>
      </c>
      <c r="C31" s="653">
        <f>IFERROR(INDEX('AFA-E_ANTC'!$P$5:$P$48,MATCH($A31,'AFA-E_ANTC'!$R$4:$R$48,0)),"")</f>
        <v>3.4999999999999996E-2</v>
      </c>
      <c r="D31" s="342" t="s">
        <v>1166</v>
      </c>
    </row>
    <row r="32" spans="1:4" x14ac:dyDescent="0.25">
      <c r="A32" s="227" t="s">
        <v>969</v>
      </c>
      <c r="B32" s="220" t="str">
        <f>VLOOKUP($A32,ITEMS_Tech_N!$D$6:$E$122,2,FALSE)</f>
        <v>Transport Passenger Minibus Oil Gasoline-N</v>
      </c>
      <c r="C32" s="653">
        <f>IFERROR(INDEX('AFA-E_ANTC'!$P$5:$P$48,MATCH($A32,'AFA-E_ANTC'!$R$4:$R$48,0)),"")</f>
        <v>3.4999999999999996E-2</v>
      </c>
      <c r="D32" s="342" t="s">
        <v>1166</v>
      </c>
    </row>
    <row r="33" spans="1:4" x14ac:dyDescent="0.25">
      <c r="A33" s="227" t="s">
        <v>971</v>
      </c>
      <c r="B33" s="220" t="e">
        <f>VLOOKUP($A33,ITEMS_Tech_N!$D$6:$E$122,2,FALSE)</f>
        <v>#N/A</v>
      </c>
      <c r="C33" s="238">
        <f>C32</f>
        <v>3.4999999999999996E-2</v>
      </c>
      <c r="D33" s="238" t="s">
        <v>1179</v>
      </c>
    </row>
    <row r="34" spans="1:4" x14ac:dyDescent="0.25">
      <c r="A34" s="227" t="s">
        <v>973</v>
      </c>
      <c r="B34" s="220" t="e">
        <f>VLOOKUP($A34,ITEMS_Tech_N!$D$6:$E$122,2,FALSE)</f>
        <v>#N/A</v>
      </c>
      <c r="C34" s="238">
        <f>C33</f>
        <v>3.4999999999999996E-2</v>
      </c>
      <c r="D34" s="238" t="s">
        <v>1179</v>
      </c>
    </row>
    <row r="35" spans="1:4" x14ac:dyDescent="0.25">
      <c r="A35" s="227" t="s">
        <v>975</v>
      </c>
      <c r="B35" s="220" t="str">
        <f>VLOOKUP($A35,ITEMS_Tech_N!$D$6:$E$122,2,FALSE)</f>
        <v>Transport Passenger Minibus Hydrogen Fuel Cell-N</v>
      </c>
      <c r="C35" s="238">
        <f t="shared" ref="C35:C37" si="1">C34</f>
        <v>3.4999999999999996E-2</v>
      </c>
      <c r="D35" s="238" t="s">
        <v>1179</v>
      </c>
    </row>
    <row r="36" spans="1:4" x14ac:dyDescent="0.25">
      <c r="A36" s="227" t="s">
        <v>977</v>
      </c>
      <c r="B36" s="220" t="e">
        <f>VLOOKUP($A36,ITEMS_Tech_N!$D$6:$E$122,2,FALSE)</f>
        <v>#N/A</v>
      </c>
      <c r="C36" s="238">
        <f t="shared" si="1"/>
        <v>3.4999999999999996E-2</v>
      </c>
      <c r="D36" s="238" t="s">
        <v>1179</v>
      </c>
    </row>
    <row r="37" spans="1:4" x14ac:dyDescent="0.25">
      <c r="A37" s="227" t="s">
        <v>979</v>
      </c>
      <c r="B37" s="220" t="str">
        <f>VLOOKUP($A37,ITEMS_Tech_N!$D$6:$E$122,2,FALSE)</f>
        <v>Transport Passenger Minibus Electricity-N</v>
      </c>
      <c r="C37" s="238">
        <f t="shared" si="1"/>
        <v>3.4999999999999996E-2</v>
      </c>
      <c r="D37" s="238" t="s">
        <v>1179</v>
      </c>
    </row>
    <row r="38" spans="1:4" x14ac:dyDescent="0.25">
      <c r="A38" s="227" t="s">
        <v>394</v>
      </c>
      <c r="B38" s="220" t="str">
        <f>VLOOKUP($A38,ITEMS_Tech_N!$D$6:$E$122,2,FALSE)</f>
        <v>Transport Passenger BRT Oil Diesel-N</v>
      </c>
      <c r="C38" s="238">
        <f>C27</f>
        <v>0.06</v>
      </c>
      <c r="D38" s="238" t="s">
        <v>1183</v>
      </c>
    </row>
    <row r="39" spans="1:4" x14ac:dyDescent="0.25">
      <c r="A39" s="227" t="s">
        <v>982</v>
      </c>
      <c r="B39" s="220" t="e">
        <f>VLOOKUP($A39,ITEMS_Tech_N!$D$6:$E$122,2,FALSE)</f>
        <v>#N/A</v>
      </c>
      <c r="C39" s="238">
        <f t="shared" ref="C39:C42" si="2">C28</f>
        <v>0.06</v>
      </c>
      <c r="D39" s="238" t="s">
        <v>1183</v>
      </c>
    </row>
    <row r="40" spans="1:4" x14ac:dyDescent="0.25">
      <c r="A40" s="227" t="s">
        <v>984</v>
      </c>
      <c r="B40" s="220" t="str">
        <f>VLOOKUP($A40,ITEMS_Tech_N!$D$6:$E$122,2,FALSE)</f>
        <v>Transport Passenger BRT Electricity-N</v>
      </c>
      <c r="C40" s="238">
        <f t="shared" si="2"/>
        <v>0.06</v>
      </c>
      <c r="D40" s="238" t="s">
        <v>1183</v>
      </c>
    </row>
    <row r="41" spans="1:4" x14ac:dyDescent="0.25">
      <c r="A41" s="227" t="s">
        <v>986</v>
      </c>
      <c r="B41" s="220" t="str">
        <f>VLOOKUP($A41,ITEMS_Tech_N!$D$6:$E$122,2,FALSE)</f>
        <v>Transport Passenger BRT Hydrogen-N</v>
      </c>
      <c r="C41" s="238">
        <f t="shared" si="2"/>
        <v>0.06</v>
      </c>
      <c r="D41" s="238" t="s">
        <v>1183</v>
      </c>
    </row>
    <row r="42" spans="1:4" x14ac:dyDescent="0.25">
      <c r="A42" s="227" t="s">
        <v>988</v>
      </c>
      <c r="B42" s="220" t="e">
        <f>VLOOKUP($A42,ITEMS_Tech_N!$D$6:$E$122,2,FALSE)</f>
        <v>#N/A</v>
      </c>
      <c r="C42" s="238">
        <f t="shared" si="2"/>
        <v>3.4999999999999996E-2</v>
      </c>
      <c r="D42" s="238" t="s">
        <v>1183</v>
      </c>
    </row>
    <row r="43" spans="1:4" x14ac:dyDescent="0.25">
      <c r="A43" s="227" t="s">
        <v>401</v>
      </c>
      <c r="B43" s="220" t="str">
        <f>VLOOKUP($A43,ITEMS_Tech_N!$D$6:$E$122,2,FALSE)</f>
        <v>Transport Passenger Metro Rail Electricity-N</v>
      </c>
      <c r="C43" s="653">
        <f>IFERROR(INDEX('AFA-E_ANTC'!$P$5:$P$48,MATCH($A43,'AFA-E_ANTC'!$R$4:$R$48,0)),"")</f>
        <v>1</v>
      </c>
      <c r="D43" s="342" t="s">
        <v>1166</v>
      </c>
    </row>
    <row r="44" spans="1:4" x14ac:dyDescent="0.25">
      <c r="A44" s="227" t="s">
        <v>402</v>
      </c>
      <c r="B44" s="220" t="str">
        <f>VLOOKUP($A44,ITEMS_Tech_N!$D$6:$E$122,2,FALSE)</f>
        <v>Transport Passenger Gautrain Electricity-N</v>
      </c>
      <c r="C44" s="238">
        <v>1</v>
      </c>
      <c r="D44" s="238" t="s">
        <v>1185</v>
      </c>
    </row>
    <row r="45" spans="1:4" x14ac:dyDescent="0.25">
      <c r="A45" s="227" t="s">
        <v>992</v>
      </c>
      <c r="B45" s="220" t="str">
        <f>VLOOKUP($A45,ITEMS_Tech_N!$D$6:$E$122,2,FALSE)</f>
        <v>Transport Freight - LCV Oil Diesel-N</v>
      </c>
      <c r="C45" s="653">
        <f>IFERROR(INDEX('AFA-E_ANTC'!$P$5:$P$48,MATCH($A45,'AFA-E_ANTC'!$R$4:$R$48,0)),"")</f>
        <v>0.04</v>
      </c>
      <c r="D45" s="342" t="s">
        <v>1166</v>
      </c>
    </row>
    <row r="46" spans="1:4" x14ac:dyDescent="0.25">
      <c r="A46" s="227" t="s">
        <v>994</v>
      </c>
      <c r="B46" s="220" t="e">
        <f>VLOOKUP($A46,ITEMS_Tech_N!$D$6:$E$122,2,FALSE)</f>
        <v>#N/A</v>
      </c>
      <c r="C46" s="238">
        <f>C45</f>
        <v>0.04</v>
      </c>
      <c r="D46" s="238" t="s">
        <v>1184</v>
      </c>
    </row>
    <row r="47" spans="1:4" x14ac:dyDescent="0.25">
      <c r="A47" s="227" t="s">
        <v>996</v>
      </c>
      <c r="B47" s="220" t="str">
        <f>VLOOKUP($A47,ITEMS_Tech_N!$D$6:$E$122,2,FALSE)</f>
        <v>Transport Freight - LCV Oil Gasoline-N</v>
      </c>
      <c r="C47" s="653">
        <f>IFERROR(INDEX('AFA-E_ANTC'!$P$5:$P$48,MATCH($A47,'AFA-E_ANTC'!$R$4:$R$48,0)),"")</f>
        <v>3.4999999999999996E-2</v>
      </c>
      <c r="D47" s="342" t="s">
        <v>1166</v>
      </c>
    </row>
    <row r="48" spans="1:4" x14ac:dyDescent="0.25">
      <c r="A48" s="227" t="s">
        <v>998</v>
      </c>
      <c r="B48" s="220" t="str">
        <f>VLOOKUP($A48,ITEMS_Tech_N!$D$6:$E$122,2,FALSE)</f>
        <v>Transport Freight - LCV Oil GasolineHybrid-N</v>
      </c>
      <c r="C48" s="238">
        <f>C47</f>
        <v>3.4999999999999996E-2</v>
      </c>
      <c r="D48" s="238" t="s">
        <v>1180</v>
      </c>
    </row>
    <row r="49" spans="1:4" x14ac:dyDescent="0.25">
      <c r="A49" s="227" t="s">
        <v>1000</v>
      </c>
      <c r="B49" s="220" t="e">
        <f>VLOOKUP($A49,ITEMS_Tech_N!$D$6:$E$122,2,FALSE)</f>
        <v>#N/A</v>
      </c>
      <c r="C49" s="238">
        <f>C48</f>
        <v>3.4999999999999996E-2</v>
      </c>
      <c r="D49" s="238" t="s">
        <v>1180</v>
      </c>
    </row>
    <row r="50" spans="1:4" x14ac:dyDescent="0.25">
      <c r="A50" s="227" t="s">
        <v>1002</v>
      </c>
      <c r="B50" s="220" t="str">
        <f>VLOOKUP($A50,ITEMS_Tech_N!$D$6:$E$122,2,FALSE)</f>
        <v>Transport Freight - LCV Electricity-N</v>
      </c>
      <c r="C50" s="238">
        <f>C49</f>
        <v>3.4999999999999996E-2</v>
      </c>
      <c r="D50" s="238" t="s">
        <v>1180</v>
      </c>
    </row>
    <row r="51" spans="1:4" x14ac:dyDescent="0.25">
      <c r="A51" s="227" t="s">
        <v>1004</v>
      </c>
      <c r="B51" s="220" t="str">
        <f>VLOOKUP($A51,ITEMS_Tech_N!$D$6:$E$122,2,FALSE)</f>
        <v>Transport Freight - HCV1 Oil Diesel-N</v>
      </c>
      <c r="C51" s="653">
        <f>IFERROR(INDEX('AFA-E_ANTC'!$P$5:$P$48,MATCH($A51,'AFA-E_ANTC'!$R$4:$R$48,0)),"")</f>
        <v>5.5E-2</v>
      </c>
      <c r="D51" s="342" t="s">
        <v>1166</v>
      </c>
    </row>
    <row r="52" spans="1:4" x14ac:dyDescent="0.25">
      <c r="A52" s="227" t="s">
        <v>1006</v>
      </c>
      <c r="B52" s="220" t="str">
        <f>VLOOKUP($A52,ITEMS_Tech_N!$D$6:$E$122,2,FALSE)</f>
        <v>Transport Freight - HCV1 Oil Gasoline-N</v>
      </c>
      <c r="C52" s="653">
        <f>IFERROR(INDEX('AFA-E_ANTC'!$P$5:$P$48,MATCH($A52,'AFA-E_ANTC'!$R$4:$R$48,0)),"")</f>
        <v>4.8000000000000001E-2</v>
      </c>
      <c r="D52" s="342" t="s">
        <v>1166</v>
      </c>
    </row>
    <row r="53" spans="1:4" x14ac:dyDescent="0.25">
      <c r="A53" s="227" t="s">
        <v>1008</v>
      </c>
      <c r="B53" s="220" t="str">
        <f>VLOOKUP($A53,ITEMS_Tech_N!$D$6:$E$122,2,FALSE)</f>
        <v>Transport Freight - HCV2 Oil Diesel-N</v>
      </c>
      <c r="C53" s="653">
        <f>IFERROR(INDEX('AFA-E_ANTC'!$P$5:$P$48,MATCH($A53,'AFA-E_ANTC'!$R$4:$R$48,0)),"")</f>
        <v>4.8000000000000001E-2</v>
      </c>
      <c r="D53" s="342" t="s">
        <v>1166</v>
      </c>
    </row>
    <row r="54" spans="1:4" x14ac:dyDescent="0.25">
      <c r="A54" s="227" t="s">
        <v>1010</v>
      </c>
      <c r="B54" s="220" t="str">
        <f>VLOOKUP($A54,ITEMS_Tech_N!$D$6:$E$122,2,FALSE)</f>
        <v>Transport Freight - HCV3 Oil Diesel-N</v>
      </c>
      <c r="C54" s="653">
        <f>IFERROR(INDEX('AFA-E_ANTC'!$P$5:$P$48,MATCH($A54,'AFA-E_ANTC'!$R$4:$R$48,0)),"")</f>
        <v>8.4999999999999992E-2</v>
      </c>
      <c r="D54" s="342" t="s">
        <v>1166</v>
      </c>
    </row>
    <row r="55" spans="1:4" x14ac:dyDescent="0.25">
      <c r="A55" s="227" t="s">
        <v>1012</v>
      </c>
      <c r="B55" s="220" t="str">
        <f>VLOOKUP($A55,ITEMS_Tech_N!$D$6:$E$122,2,FALSE)</f>
        <v>Transport Freight - HCV4 Oil Diesel-N</v>
      </c>
      <c r="C55" s="653">
        <f>IFERROR(INDEX('AFA-E_ANTC'!$P$5:$P$48,MATCH($A55,'AFA-E_ANTC'!$R$4:$R$48,0)),"")</f>
        <v>8.4999999999999992E-2</v>
      </c>
      <c r="D55" s="342" t="s">
        <v>1166</v>
      </c>
    </row>
    <row r="56" spans="1:4" x14ac:dyDescent="0.25">
      <c r="A56" s="227" t="s">
        <v>1014</v>
      </c>
      <c r="B56" s="220" t="str">
        <f>VLOOKUP($A56,ITEMS_Tech_N!$D$6:$E$122,2,FALSE)</f>
        <v>Transport Freight - HCV5 Oil Diesel-N</v>
      </c>
      <c r="C56" s="653">
        <f>IFERROR(INDEX('AFA-E_ANTC'!$P$5:$P$48,MATCH($A56,'AFA-E_ANTC'!$R$4:$R$48,0)),"")</f>
        <v>0.11</v>
      </c>
      <c r="D56" s="342" t="s">
        <v>1166</v>
      </c>
    </row>
    <row r="57" spans="1:4" x14ac:dyDescent="0.25">
      <c r="A57" s="227" t="s">
        <v>1016</v>
      </c>
      <c r="B57" s="220" t="str">
        <f>VLOOKUP($A57,ITEMS_Tech_N!$D$6:$E$122,2,FALSE)</f>
        <v>Transport Freight - HCV6 Oil Diesel-N</v>
      </c>
      <c r="C57" s="653">
        <f>IFERROR(INDEX('AFA-E_ANTC'!$P$5:$P$48,MATCH($A57,'AFA-E_ANTC'!$R$4:$R$48,0)),"")</f>
        <v>0.11</v>
      </c>
      <c r="D57" s="342" t="s">
        <v>1166</v>
      </c>
    </row>
    <row r="58" spans="1:4" x14ac:dyDescent="0.25">
      <c r="A58" s="227" t="s">
        <v>1018</v>
      </c>
      <c r="B58" s="220" t="str">
        <f>VLOOKUP($A58,ITEMS_Tech_N!$D$6:$E$122,2,FALSE)</f>
        <v>Transport Freight - HCV7 Oil Diesel-N</v>
      </c>
      <c r="C58" s="653">
        <f>IFERROR(INDEX('AFA-E_ANTC'!$P$5:$P$48,MATCH($A58,'AFA-E_ANTC'!$R$4:$R$48,0)),"")</f>
        <v>0.16</v>
      </c>
      <c r="D58" s="342" t="s">
        <v>1166</v>
      </c>
    </row>
    <row r="59" spans="1:4" x14ac:dyDescent="0.25">
      <c r="A59" s="227" t="s">
        <v>1020</v>
      </c>
      <c r="B59" s="220" t="str">
        <f>VLOOKUP($A59,ITEMS_Tech_N!$D$6:$E$122,2,FALSE)</f>
        <v>Transport Freight - HCV8 Oil Diesel-N</v>
      </c>
      <c r="C59" s="653">
        <f>IFERROR(INDEX('AFA-E_ANTC'!$P$5:$P$48,MATCH($A59,'AFA-E_ANTC'!$R$4:$R$48,0)),"")</f>
        <v>0.16</v>
      </c>
      <c r="D59" s="342" t="s">
        <v>1166</v>
      </c>
    </row>
    <row r="60" spans="1:4" x14ac:dyDescent="0.25">
      <c r="A60" s="227" t="s">
        <v>1022</v>
      </c>
      <c r="B60" s="220" t="str">
        <f>VLOOKUP($A60,ITEMS_Tech_N!$D$6:$E$122,2,FALSE)</f>
        <v>Transport Freight - HCV9 Oil Diesel-N</v>
      </c>
      <c r="C60" s="653">
        <f>IFERROR(INDEX('AFA-E_ANTC'!$P$5:$P$48,MATCH($A60,'AFA-E_ANTC'!$R$4:$R$48,0)),"")</f>
        <v>0.18</v>
      </c>
      <c r="D60" s="342" t="s">
        <v>1166</v>
      </c>
    </row>
    <row r="61" spans="1:4" x14ac:dyDescent="0.25">
      <c r="A61" s="227" t="s">
        <v>1024</v>
      </c>
      <c r="B61" s="220" t="e">
        <f>VLOOKUP($A61,ITEMS_Tech_N!$D$6:$E$122,2,FALSE)</f>
        <v>#N/A</v>
      </c>
      <c r="C61" s="238">
        <f>C52</f>
        <v>4.8000000000000001E-2</v>
      </c>
      <c r="D61" s="238" t="s">
        <v>1181</v>
      </c>
    </row>
    <row r="62" spans="1:4" x14ac:dyDescent="0.25">
      <c r="A62" s="227" t="s">
        <v>1026</v>
      </c>
      <c r="B62" s="220" t="e">
        <f>VLOOKUP($A62,ITEMS_Tech_N!$D$6:$E$122,2,FALSE)</f>
        <v>#N/A</v>
      </c>
      <c r="C62" s="238">
        <f>C53</f>
        <v>4.8000000000000001E-2</v>
      </c>
      <c r="D62" s="238" t="s">
        <v>1181</v>
      </c>
    </row>
    <row r="63" spans="1:4" x14ac:dyDescent="0.25">
      <c r="A63" s="227" t="s">
        <v>1028</v>
      </c>
      <c r="B63" s="220" t="e">
        <f>VLOOKUP($A63,ITEMS_Tech_N!$D$6:$E$122,2,FALSE)</f>
        <v>#N/A</v>
      </c>
      <c r="C63" s="238">
        <f t="shared" ref="C63:C86" si="3">C54</f>
        <v>8.4999999999999992E-2</v>
      </c>
      <c r="D63" s="238" t="s">
        <v>1181</v>
      </c>
    </row>
    <row r="64" spans="1:4" x14ac:dyDescent="0.25">
      <c r="A64" s="227" t="s">
        <v>1030</v>
      </c>
      <c r="B64" s="220" t="e">
        <f>VLOOKUP($A64,ITEMS_Tech_N!$D$6:$E$122,2,FALSE)</f>
        <v>#N/A</v>
      </c>
      <c r="C64" s="238">
        <f t="shared" si="3"/>
        <v>8.4999999999999992E-2</v>
      </c>
      <c r="D64" s="238" t="s">
        <v>1181</v>
      </c>
    </row>
    <row r="65" spans="1:4" x14ac:dyDescent="0.25">
      <c r="A65" s="227" t="s">
        <v>1032</v>
      </c>
      <c r="B65" s="220" t="e">
        <f>VLOOKUP($A65,ITEMS_Tech_N!$D$6:$E$122,2,FALSE)</f>
        <v>#N/A</v>
      </c>
      <c r="C65" s="238">
        <f t="shared" si="3"/>
        <v>0.11</v>
      </c>
      <c r="D65" s="238" t="s">
        <v>1181</v>
      </c>
    </row>
    <row r="66" spans="1:4" x14ac:dyDescent="0.25">
      <c r="A66" s="227" t="s">
        <v>1034</v>
      </c>
      <c r="B66" s="220" t="e">
        <f>VLOOKUP($A66,ITEMS_Tech_N!$D$6:$E$122,2,FALSE)</f>
        <v>#N/A</v>
      </c>
      <c r="C66" s="238">
        <f t="shared" si="3"/>
        <v>0.11</v>
      </c>
      <c r="D66" s="238" t="s">
        <v>1181</v>
      </c>
    </row>
    <row r="67" spans="1:4" x14ac:dyDescent="0.25">
      <c r="A67" s="227" t="s">
        <v>1036</v>
      </c>
      <c r="B67" s="220" t="e">
        <f>VLOOKUP($A67,ITEMS_Tech_N!$D$6:$E$122,2,FALSE)</f>
        <v>#N/A</v>
      </c>
      <c r="C67" s="238">
        <f t="shared" si="3"/>
        <v>0.16</v>
      </c>
      <c r="D67" s="238" t="s">
        <v>1181</v>
      </c>
    </row>
    <row r="68" spans="1:4" x14ac:dyDescent="0.25">
      <c r="A68" s="227" t="s">
        <v>1038</v>
      </c>
      <c r="B68" s="220" t="e">
        <f>VLOOKUP($A68,ITEMS_Tech_N!$D$6:$E$122,2,FALSE)</f>
        <v>#N/A</v>
      </c>
      <c r="C68" s="238">
        <f t="shared" si="3"/>
        <v>0.16</v>
      </c>
      <c r="D68" s="238" t="s">
        <v>1181</v>
      </c>
    </row>
    <row r="69" spans="1:4" x14ac:dyDescent="0.25">
      <c r="A69" s="227" t="s">
        <v>1040</v>
      </c>
      <c r="B69" s="220" t="e">
        <f>VLOOKUP($A69,ITEMS_Tech_N!$D$6:$E$122,2,FALSE)</f>
        <v>#N/A</v>
      </c>
      <c r="C69" s="238">
        <f t="shared" si="3"/>
        <v>0.18</v>
      </c>
      <c r="D69" s="238" t="s">
        <v>1181</v>
      </c>
    </row>
    <row r="70" spans="1:4" x14ac:dyDescent="0.25">
      <c r="A70" s="227" t="s">
        <v>1042</v>
      </c>
      <c r="B70" s="220" t="str">
        <f>VLOOKUP($A70,ITEMS_Tech_N!$D$6:$E$122,2,FALSE)</f>
        <v>Transport Freight - HCV1 Electricity-N</v>
      </c>
      <c r="C70" s="238">
        <f t="shared" si="3"/>
        <v>4.8000000000000001E-2</v>
      </c>
      <c r="D70" s="238" t="s">
        <v>1181</v>
      </c>
    </row>
    <row r="71" spans="1:4" x14ac:dyDescent="0.25">
      <c r="A71" s="227" t="s">
        <v>1044</v>
      </c>
      <c r="B71" s="220" t="str">
        <f>VLOOKUP($A71,ITEMS_Tech_N!$D$6:$E$122,2,FALSE)</f>
        <v>Transport Freight - HCV2 Electricity-N</v>
      </c>
      <c r="C71" s="238">
        <f t="shared" si="3"/>
        <v>4.8000000000000001E-2</v>
      </c>
      <c r="D71" s="238" t="s">
        <v>1181</v>
      </c>
    </row>
    <row r="72" spans="1:4" x14ac:dyDescent="0.25">
      <c r="A72" s="227" t="s">
        <v>1046</v>
      </c>
      <c r="B72" s="220" t="str">
        <f>VLOOKUP($A72,ITEMS_Tech_N!$D$6:$E$122,2,FALSE)</f>
        <v>Transport Freight - HCV3 Electricity-N</v>
      </c>
      <c r="C72" s="238">
        <f t="shared" si="3"/>
        <v>8.4999999999999992E-2</v>
      </c>
      <c r="D72" s="238" t="s">
        <v>1181</v>
      </c>
    </row>
    <row r="73" spans="1:4" x14ac:dyDescent="0.25">
      <c r="A73" s="227" t="s">
        <v>1048</v>
      </c>
      <c r="B73" s="220" t="str">
        <f>VLOOKUP($A73,ITEMS_Tech_N!$D$6:$E$122,2,FALSE)</f>
        <v>Transport Freight - HCV4 Electricity-N</v>
      </c>
      <c r="C73" s="238">
        <f t="shared" si="3"/>
        <v>8.4999999999999992E-2</v>
      </c>
      <c r="D73" s="238" t="s">
        <v>1181</v>
      </c>
    </row>
    <row r="74" spans="1:4" x14ac:dyDescent="0.25">
      <c r="A74" s="227" t="s">
        <v>1050</v>
      </c>
      <c r="B74" s="220" t="str">
        <f>VLOOKUP($A74,ITEMS_Tech_N!$D$6:$E$122,2,FALSE)</f>
        <v>Transport Freight - HCV5 Electricity-N</v>
      </c>
      <c r="C74" s="238">
        <f t="shared" si="3"/>
        <v>0.11</v>
      </c>
      <c r="D74" s="238" t="s">
        <v>1181</v>
      </c>
    </row>
    <row r="75" spans="1:4" x14ac:dyDescent="0.25">
      <c r="A75" s="227" t="s">
        <v>1052</v>
      </c>
      <c r="B75" s="220" t="str">
        <f>VLOOKUP($A75,ITEMS_Tech_N!$D$6:$E$122,2,FALSE)</f>
        <v>Transport Freight - HCV6 Electricity-N</v>
      </c>
      <c r="C75" s="238">
        <f t="shared" si="3"/>
        <v>0.11</v>
      </c>
      <c r="D75" s="238" t="s">
        <v>1181</v>
      </c>
    </row>
    <row r="76" spans="1:4" x14ac:dyDescent="0.25">
      <c r="A76" s="227" t="s">
        <v>1054</v>
      </c>
      <c r="B76" s="220" t="str">
        <f>VLOOKUP($A76,ITEMS_Tech_N!$D$6:$E$122,2,FALSE)</f>
        <v>Transport Freight - HCV7 Electricity-N</v>
      </c>
      <c r="C76" s="238">
        <f t="shared" si="3"/>
        <v>0.16</v>
      </c>
      <c r="D76" s="238" t="s">
        <v>1181</v>
      </c>
    </row>
    <row r="77" spans="1:4" x14ac:dyDescent="0.25">
      <c r="A77" s="227" t="s">
        <v>1056</v>
      </c>
      <c r="B77" s="220" t="str">
        <f>VLOOKUP($A77,ITEMS_Tech_N!$D$6:$E$122,2,FALSE)</f>
        <v>Transport Freight - HCV8 Electricity-N</v>
      </c>
      <c r="C77" s="238">
        <f t="shared" si="3"/>
        <v>0.16</v>
      </c>
      <c r="D77" s="238" t="s">
        <v>1181</v>
      </c>
    </row>
    <row r="78" spans="1:4" x14ac:dyDescent="0.25">
      <c r="A78" s="227" t="s">
        <v>1058</v>
      </c>
      <c r="B78" s="220" t="str">
        <f>VLOOKUP($A78,ITEMS_Tech_N!$D$6:$E$122,2,FALSE)</f>
        <v>Transport Freight - HCV9 Electricity-N</v>
      </c>
      <c r="C78" s="238">
        <f t="shared" si="3"/>
        <v>0.18</v>
      </c>
      <c r="D78" s="238" t="s">
        <v>1181</v>
      </c>
    </row>
    <row r="79" spans="1:4" x14ac:dyDescent="0.25">
      <c r="A79" s="227" t="s">
        <v>1060</v>
      </c>
      <c r="B79" s="220" t="str">
        <f>VLOOKUP($A79,ITEMS_Tech_N!$D$6:$E$122,2,FALSE)</f>
        <v>Transport Freight - HCV2 Hydrogen-N</v>
      </c>
      <c r="C79" s="238">
        <f t="shared" si="3"/>
        <v>4.8000000000000001E-2</v>
      </c>
      <c r="D79" s="238" t="s">
        <v>1181</v>
      </c>
    </row>
    <row r="80" spans="1:4" x14ac:dyDescent="0.25">
      <c r="A80" s="227" t="s">
        <v>1062</v>
      </c>
      <c r="B80" s="220" t="str">
        <f>VLOOKUP($A80,ITEMS_Tech_N!$D$6:$E$122,2,FALSE)</f>
        <v>Transport Freight - HCV3 Hydrogen-N</v>
      </c>
      <c r="C80" s="238">
        <f t="shared" si="3"/>
        <v>4.8000000000000001E-2</v>
      </c>
      <c r="D80" s="238" t="s">
        <v>1181</v>
      </c>
    </row>
    <row r="81" spans="1:4" x14ac:dyDescent="0.25">
      <c r="A81" s="227" t="s">
        <v>1064</v>
      </c>
      <c r="B81" s="220" t="str">
        <f>VLOOKUP($A81,ITEMS_Tech_N!$D$6:$E$122,2,FALSE)</f>
        <v>Transport Freight - HCV4 Hydrogen-N</v>
      </c>
      <c r="C81" s="238">
        <f t="shared" si="3"/>
        <v>8.4999999999999992E-2</v>
      </c>
      <c r="D81" s="238" t="s">
        <v>1181</v>
      </c>
    </row>
    <row r="82" spans="1:4" x14ac:dyDescent="0.25">
      <c r="A82" s="227" t="s">
        <v>1066</v>
      </c>
      <c r="B82" s="220" t="str">
        <f>VLOOKUP($A82,ITEMS_Tech_N!$D$6:$E$122,2,FALSE)</f>
        <v>Transport Freight - HCV5 Hydrogen-N</v>
      </c>
      <c r="C82" s="238">
        <f t="shared" si="3"/>
        <v>8.4999999999999992E-2</v>
      </c>
      <c r="D82" s="238" t="s">
        <v>1181</v>
      </c>
    </row>
    <row r="83" spans="1:4" x14ac:dyDescent="0.25">
      <c r="A83" s="227" t="s">
        <v>1068</v>
      </c>
      <c r="B83" s="220" t="str">
        <f>VLOOKUP($A83,ITEMS_Tech_N!$D$6:$E$122,2,FALSE)</f>
        <v>Transport Freight - HCV6 Hydrogen-N</v>
      </c>
      <c r="C83" s="238">
        <f t="shared" si="3"/>
        <v>0.11</v>
      </c>
      <c r="D83" s="238" t="s">
        <v>1181</v>
      </c>
    </row>
    <row r="84" spans="1:4" x14ac:dyDescent="0.25">
      <c r="A84" s="227" t="s">
        <v>1070</v>
      </c>
      <c r="B84" s="220" t="str">
        <f>VLOOKUP($A84,ITEMS_Tech_N!$D$6:$E$122,2,FALSE)</f>
        <v>Transport Freight - HCV7 Hydrogen-N</v>
      </c>
      <c r="C84" s="238">
        <f t="shared" si="3"/>
        <v>0.11</v>
      </c>
      <c r="D84" s="238" t="s">
        <v>1181</v>
      </c>
    </row>
    <row r="85" spans="1:4" x14ac:dyDescent="0.25">
      <c r="A85" s="227" t="s">
        <v>1072</v>
      </c>
      <c r="B85" s="220" t="str">
        <f>VLOOKUP($A85,ITEMS_Tech_N!$D$6:$E$122,2,FALSE)</f>
        <v>Transport Freight - HCV8 Hydrogen-N</v>
      </c>
      <c r="C85" s="238">
        <f t="shared" si="3"/>
        <v>0.16</v>
      </c>
      <c r="D85" s="238" t="s">
        <v>1181</v>
      </c>
    </row>
    <row r="86" spans="1:4" x14ac:dyDescent="0.25">
      <c r="A86" s="227" t="s">
        <v>1074</v>
      </c>
      <c r="B86" s="220" t="str">
        <f>VLOOKUP($A86,ITEMS_Tech_N!$D$6:$E$122,2,FALSE)</f>
        <v>Transport Freight - HCV9 Hydrogen-N</v>
      </c>
      <c r="C86" s="238">
        <f t="shared" si="3"/>
        <v>0.16</v>
      </c>
      <c r="D86" s="238" t="s">
        <v>1181</v>
      </c>
    </row>
    <row r="87" spans="1:4" x14ac:dyDescent="0.25">
      <c r="A87" s="227" t="s">
        <v>1076</v>
      </c>
      <c r="B87" s="220" t="e">
        <f>VLOOKUP($A87,ITEMS_Tech_N!$D$6:$E$122,2,FALSE)</f>
        <v>#N/A</v>
      </c>
      <c r="C87" s="233">
        <v>1</v>
      </c>
      <c r="D87" s="238"/>
    </row>
    <row r="88" spans="1:4" x14ac:dyDescent="0.25">
      <c r="A88" s="227" t="s">
        <v>1078</v>
      </c>
      <c r="B88" s="220" t="str">
        <f>VLOOKUP($A88,ITEMS_Tech_N!$D$6:$E$122,2,FALSE)</f>
        <v>Transport Freight - Rail Corridor Electricity-N</v>
      </c>
      <c r="C88" s="233">
        <f>IFERROR(INDEX('AFA-E_ANTC'!$P$5:$P$48,MATCH($A88,'AFA-E_ANTC'!$R$4:$R$48,0)),"")</f>
        <v>1</v>
      </c>
      <c r="D88" s="342"/>
    </row>
    <row r="89" spans="1:4" x14ac:dyDescent="0.25">
      <c r="A89" s="227" t="s">
        <v>1080</v>
      </c>
      <c r="B89" s="220" t="str">
        <f>VLOOKUP($A89,ITEMS_Tech_N!$D$6:$E$122,2,FALSE)</f>
        <v>Transport Freight - Rail Other Electricity-N</v>
      </c>
      <c r="C89" s="233">
        <f>IFERROR(INDEX('AFA-E_ANTC'!$P$5:$P$48,MATCH($A89,'AFA-E_ANTC'!$R$4:$R$48,0)),"")</f>
        <v>1</v>
      </c>
      <c r="D89" s="342"/>
    </row>
    <row r="90" spans="1:4" x14ac:dyDescent="0.25">
      <c r="A90" s="227" t="s">
        <v>1082</v>
      </c>
      <c r="B90" s="220" t="str">
        <f>VLOOKUP($A90,ITEMS_Tech_N!$D$6:$E$122,2,FALSE)</f>
        <v>Transport Freight - Rail Export (bulk mining) Electricity-N</v>
      </c>
      <c r="C90" s="233">
        <f>IFERROR(INDEX('AFA-E_ANTC'!$P$5:$P$48,MATCH($A90,'AFA-E_ANTC'!$R$4:$R$48,0)),"")</f>
        <v>1</v>
      </c>
      <c r="D90" s="342"/>
    </row>
    <row r="91" spans="1:4" x14ac:dyDescent="0.25">
      <c r="A91" s="227" t="s">
        <v>1084</v>
      </c>
      <c r="B91" s="220" t="str">
        <f>VLOOKUP($A91,ITEMS_Tech_N!$D$6:$E$122,2,FALSE)</f>
        <v>Transport Other - Pipeline Electricity-N</v>
      </c>
      <c r="C91" s="233">
        <f>IFERROR(INDEX('AFA-E_ANTC'!$P$5:$P$48,MATCH($A91,'AFA-E_ANTC'!$R$4:$R$48,0)),"")</f>
        <v>1</v>
      </c>
      <c r="D91" s="342"/>
    </row>
    <row r="92" spans="1:4" x14ac:dyDescent="0.25">
      <c r="A92" s="227" t="s">
        <v>1086</v>
      </c>
      <c r="B92" s="220" t="str">
        <f>VLOOKUP($A92,ITEMS_Tech_N!$D$6:$E$122,2,FALSE)</f>
        <v>Transport Other -  Aviation Int Jet Fuel  Oil Jet Fuel-N</v>
      </c>
      <c r="C92" s="233">
        <f>IFERROR(INDEX('AFA-E_ANTC'!$P$5:$P$48,MATCH($A92,'AFA-E_ANTC'!$R$4:$R$48,0)),"")</f>
        <v>1</v>
      </c>
      <c r="D92" s="342"/>
    </row>
    <row r="93" spans="1:4" x14ac:dyDescent="0.25">
      <c r="A93" s="227" t="s">
        <v>1088</v>
      </c>
      <c r="B93" s="220" t="str">
        <f>VLOOKUP($A93,ITEMS_Tech_N!$D$6:$E$122,2,FALSE)</f>
        <v>Transport Other -  Aviation Dom Jet Fuel  Oil Jet Fuel-N</v>
      </c>
      <c r="C93" s="233">
        <f>IFERROR(INDEX('AFA-E_ANTC'!$P$5:$P$48,MATCH($A93,'AFA-E_ANTC'!$R$4:$R$48,0)),"")</f>
        <v>1</v>
      </c>
      <c r="D93" s="342"/>
    </row>
    <row r="94" spans="1:4" x14ac:dyDescent="0.25">
      <c r="A94" s="227" t="s">
        <v>1090</v>
      </c>
      <c r="B94" s="220" t="str">
        <f>VLOOKUP($A94,ITEMS_Tech_N!$D$6:$E$122,2,FALSE)</f>
        <v>Transport Other - Aviation Gasoline T-N</v>
      </c>
      <c r="C94" s="233">
        <f>IFERROR(INDEX('AFA-E_ANTC'!$P$5:$P$48,MATCH($A94,'AFA-E_ANTC'!$R$4:$R$48,0)),"")</f>
        <v>1</v>
      </c>
      <c r="D94" s="342"/>
    </row>
    <row r="95" spans="1:4" x14ac:dyDescent="0.25">
      <c r="A95" s="227" t="s">
        <v>1092</v>
      </c>
      <c r="B95" s="220" t="str">
        <f>VLOOKUP($A95,ITEMS_Tech_N!$D$6:$E$122,2,FALSE)</f>
        <v>Transport Other - HFO Oil HFO-N</v>
      </c>
      <c r="C95" s="233">
        <f>IFERROR(INDEX('AFA-E_ANTC'!$P$5:$P$48,MATCH($A95,'AFA-E_ANTC'!$R$4:$R$48,0)),"")</f>
        <v>1</v>
      </c>
      <c r="D95" s="342"/>
    </row>
    <row r="96" spans="1:4" x14ac:dyDescent="0.25">
      <c r="A96" s="227"/>
      <c r="B96" s="220"/>
      <c r="C96" s="233"/>
      <c r="D96" s="342"/>
    </row>
    <row r="97" spans="1:1" x14ac:dyDescent="0.25">
      <c r="A97" t="s">
        <v>504</v>
      </c>
    </row>
    <row r="98" spans="1:1" x14ac:dyDescent="0.25">
      <c r="A98" t="s">
        <v>504</v>
      </c>
    </row>
  </sheetData>
  <autoFilter ref="A5:D98" xr:uid="{8BEE19C7-A18B-4114-AA06-20EA8DABAA63}"/>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D7B1CD-5FCD-427A-AA84-202EC10D8985}">
  <sheetPr>
    <tabColor theme="6" tint="0.59999389629810485"/>
  </sheetPr>
  <dimension ref="A1:AC102"/>
  <sheetViews>
    <sheetView tabSelected="1" topLeftCell="D7" workbookViewId="0">
      <selection activeCell="M33" sqref="M33"/>
    </sheetView>
  </sheetViews>
  <sheetFormatPr defaultRowHeight="15" x14ac:dyDescent="0.25"/>
  <cols>
    <col min="1" max="1" width="15.85546875" bestFit="1" customWidth="1"/>
    <col min="2" max="2" width="59.42578125" bestFit="1" customWidth="1"/>
    <col min="3" max="3" width="17.140625" customWidth="1"/>
    <col min="4" max="4" width="11.85546875" bestFit="1" customWidth="1"/>
    <col min="5" max="5" width="16.140625" customWidth="1"/>
    <col min="6" max="6" width="17.85546875" bestFit="1" customWidth="1"/>
    <col min="7" max="7" width="17.5703125" bestFit="1" customWidth="1"/>
    <col min="8" max="8" width="17.5703125" customWidth="1"/>
    <col min="9" max="9" width="21.5703125" customWidth="1"/>
    <col min="10" max="11" width="24.5703125" customWidth="1"/>
    <col min="12" max="12" width="20.42578125" customWidth="1"/>
    <col min="13" max="13" width="35.42578125" bestFit="1" customWidth="1"/>
    <col min="14" max="20" width="10.42578125" customWidth="1"/>
    <col min="21" max="21" width="14.42578125" customWidth="1"/>
    <col min="29" max="29" width="16.42578125" bestFit="1" customWidth="1"/>
  </cols>
  <sheetData>
    <row r="1" spans="1:29" ht="17.25" x14ac:dyDescent="0.3">
      <c r="N1" s="712" t="s">
        <v>1301</v>
      </c>
    </row>
    <row r="2" spans="1:29" x14ac:dyDescent="0.25">
      <c r="L2" s="711" t="s">
        <v>1292</v>
      </c>
      <c r="M2" s="713" t="s">
        <v>1117</v>
      </c>
      <c r="N2" s="714">
        <f>IEAWEO2023!O12</f>
        <v>1.1069587628866067</v>
      </c>
      <c r="O2" s="714">
        <f>IEAWEO2023!P12</f>
        <v>1</v>
      </c>
      <c r="P2" s="714">
        <f>IEAWEO2023!Q12</f>
        <v>0.97164948453608546</v>
      </c>
      <c r="Q2" s="714">
        <f>IEAWEO2023!R12</f>
        <v>0.82989690721649789</v>
      </c>
      <c r="R2" s="714">
        <f>IEAWEO2023!S12</f>
        <v>0.80412371134021188</v>
      </c>
      <c r="S2" s="714">
        <f>IEAWEO2023!T12</f>
        <v>0.77835051546392386</v>
      </c>
      <c r="T2" s="714">
        <f>IEAWEO2023!U12</f>
        <v>0.75257731958763596</v>
      </c>
      <c r="U2" s="713" t="s">
        <v>1290</v>
      </c>
    </row>
    <row r="3" spans="1:29" x14ac:dyDescent="0.25">
      <c r="L3" s="711" t="s">
        <v>1292</v>
      </c>
      <c r="M3" s="713" t="s">
        <v>1219</v>
      </c>
      <c r="N3" s="714">
        <f>IEAWEO2023!O18</f>
        <v>1.0731112433075563</v>
      </c>
      <c r="O3" s="714">
        <f>IEAWEO2023!P18</f>
        <v>1</v>
      </c>
      <c r="P3" s="714">
        <f>IEAWEO2023!Q18</f>
        <v>0.98780487804878325</v>
      </c>
      <c r="Q3" s="714">
        <f>IEAWEO2023!R18</f>
        <v>0.92682926829268486</v>
      </c>
      <c r="R3" s="714">
        <f>IEAWEO2023!S18</f>
        <v>0.92835365853658691</v>
      </c>
      <c r="S3" s="714">
        <f>IEAWEO2023!T18</f>
        <v>0.92987804878048941</v>
      </c>
      <c r="T3" s="714">
        <f>IEAWEO2023!U18</f>
        <v>0.93140243902439179</v>
      </c>
      <c r="U3" s="713" t="s">
        <v>1290</v>
      </c>
    </row>
    <row r="4" spans="1:29" x14ac:dyDescent="0.25">
      <c r="L4" s="711" t="s">
        <v>1292</v>
      </c>
      <c r="M4" s="713" t="s">
        <v>1116</v>
      </c>
      <c r="N4" s="714">
        <f>IEAWEO2023!O24</f>
        <v>1.2058823529411862</v>
      </c>
      <c r="O4" s="714">
        <f>IEAWEO2023!P24</f>
        <v>1</v>
      </c>
      <c r="P4" s="714">
        <f>IEAWEO2023!Q24</f>
        <v>0.94117647058824849</v>
      </c>
      <c r="Q4" s="714">
        <f>IEAWEO2023!R24</f>
        <v>0.64705882352941091</v>
      </c>
      <c r="R4" s="714">
        <f>IEAWEO2023!S24</f>
        <v>0.58823529411765918</v>
      </c>
      <c r="S4" s="714">
        <f>IEAWEO2023!T24</f>
        <v>0.52941176470589169</v>
      </c>
      <c r="T4" s="714">
        <f>IEAWEO2023!U24</f>
        <v>0.47058823529412425</v>
      </c>
      <c r="U4" s="713" t="s">
        <v>1290</v>
      </c>
    </row>
    <row r="5" spans="1:29" x14ac:dyDescent="0.25">
      <c r="L5" s="711" t="s">
        <v>1292</v>
      </c>
      <c r="M5" s="713" t="s">
        <v>326</v>
      </c>
      <c r="N5" s="714">
        <f>'AEA2012'!AG20</f>
        <v>0.98713685470686163</v>
      </c>
      <c r="O5" s="714">
        <f>'AEA2012'!AH20</f>
        <v>1.0032157863232847</v>
      </c>
      <c r="P5" s="714">
        <f>'AEA2012'!AI20</f>
        <v>1.0192947179397081</v>
      </c>
      <c r="Q5" s="714">
        <f>'AEA2012'!AJ20</f>
        <v>1.0304867931382624</v>
      </c>
      <c r="R5" s="714">
        <f>'AEA2012'!AK20</f>
        <v>1.0416788683368168</v>
      </c>
      <c r="S5" s="714">
        <f>'AEA2012'!AL20</f>
        <v>1.0481302140054147</v>
      </c>
      <c r="T5" s="714">
        <f>'AEA2012'!AM20</f>
        <v>1.0545815596740131</v>
      </c>
      <c r="U5" s="713" t="s">
        <v>1306</v>
      </c>
    </row>
    <row r="6" spans="1:29" x14ac:dyDescent="0.25">
      <c r="L6" s="711" t="s">
        <v>40</v>
      </c>
      <c r="M6" s="710" t="s">
        <v>1117</v>
      </c>
      <c r="N6" s="723">
        <f>NREL_2022!O41</f>
        <v>1.1470141283368605</v>
      </c>
      <c r="O6" s="723">
        <f>NREL_2022!P41</f>
        <v>0.90023034384652922</v>
      </c>
      <c r="P6" s="723">
        <f>NREL_2022!Q41</f>
        <v>0.7284848668174867</v>
      </c>
      <c r="Q6" s="723">
        <f>NREL_2022!R41</f>
        <v>0.68783152370712985</v>
      </c>
      <c r="R6" s="723">
        <f>NREL_2022!S41</f>
        <v>0.64717818059677368</v>
      </c>
      <c r="S6" s="723">
        <f>NREL_2022!T41</f>
        <v>0.63510751237115082</v>
      </c>
      <c r="T6" s="723">
        <f>NREL_2022!U41</f>
        <v>0.62303684414552796</v>
      </c>
      <c r="U6" s="710" t="s">
        <v>1311</v>
      </c>
    </row>
    <row r="7" spans="1:29" x14ac:dyDescent="0.25">
      <c r="H7" s="341" t="s">
        <v>1214</v>
      </c>
      <c r="L7" s="711" t="s">
        <v>40</v>
      </c>
      <c r="M7" s="710" t="s">
        <v>1219</v>
      </c>
      <c r="N7" s="723">
        <f>NREL_2022!O44</f>
        <v>1.0658386767291714</v>
      </c>
      <c r="O7" s="723">
        <f>NREL_2022!P44</f>
        <v>1.03</v>
      </c>
      <c r="P7" s="723">
        <f>NREL_2022!Q44</f>
        <v>0.998</v>
      </c>
      <c r="Q7" s="723">
        <f>NREL_2022!R44</f>
        <v>0.97499999999999998</v>
      </c>
      <c r="R7" s="723">
        <f>NREL_2022!S44</f>
        <v>0.96100705017736432</v>
      </c>
      <c r="S7" s="723">
        <f>NREL_2022!T44</f>
        <v>0.95510073871925838</v>
      </c>
      <c r="T7" s="723">
        <f>NREL_2022!U44</f>
        <v>0.94919442726115255</v>
      </c>
      <c r="U7" s="710" t="s">
        <v>1311</v>
      </c>
    </row>
    <row r="8" spans="1:29" x14ac:dyDescent="0.25">
      <c r="H8" s="227" t="s">
        <v>1215</v>
      </c>
      <c r="I8" s="227" t="s">
        <v>1216</v>
      </c>
      <c r="J8" s="227" t="s">
        <v>1217</v>
      </c>
      <c r="L8" s="711" t="s">
        <v>40</v>
      </c>
      <c r="M8" s="710" t="s">
        <v>1116</v>
      </c>
      <c r="N8" s="723">
        <f>NREL_2022!O43</f>
        <v>1.05476194616494</v>
      </c>
      <c r="O8" s="723">
        <f>NREL_2022!P43</f>
        <v>0.92178459201753682</v>
      </c>
      <c r="P8" s="723">
        <f>NREL_2022!Q43</f>
        <v>0.85781035584354248</v>
      </c>
      <c r="Q8" s="723">
        <f>NREL_2022!R43</f>
        <v>0.80936159554137765</v>
      </c>
      <c r="R8" s="723">
        <f>NREL_2022!S43</f>
        <v>0.76091283523921061</v>
      </c>
      <c r="S8" s="723">
        <f>NREL_2022!T43</f>
        <v>0.75178631373493143</v>
      </c>
      <c r="T8" s="723">
        <f>NREL_2022!U43</f>
        <v>0.74265979223065182</v>
      </c>
      <c r="U8" s="710" t="s">
        <v>1311</v>
      </c>
    </row>
    <row r="9" spans="1:29" x14ac:dyDescent="0.25">
      <c r="H9" s="656">
        <v>250000</v>
      </c>
      <c r="I9" s="223">
        <v>1.0525</v>
      </c>
      <c r="J9" s="657">
        <f>H9*I9</f>
        <v>263125</v>
      </c>
      <c r="L9" s="711" t="s">
        <v>40</v>
      </c>
      <c r="M9" s="710" t="s">
        <v>326</v>
      </c>
      <c r="N9" s="723">
        <f>NREL_2022!O42</f>
        <v>0.9795257757101582</v>
      </c>
      <c r="O9" s="723">
        <f>NREL_2022!P42</f>
        <v>1.0014122235669756</v>
      </c>
      <c r="P9" s="723">
        <f>NREL_2022!Q42</f>
        <v>1.0084733414018541</v>
      </c>
      <c r="Q9" s="723">
        <f>NREL_2022!R42</f>
        <v>1.014065259492172</v>
      </c>
      <c r="R9" s="723">
        <f>NREL_2022!S42</f>
        <v>1.0196571775824899</v>
      </c>
      <c r="S9" s="723">
        <f>NREL_2022!T42</f>
        <v>1.0219768293939346</v>
      </c>
      <c r="T9" s="723">
        <f>NREL_2022!U42</f>
        <v>1.0242964812053794</v>
      </c>
      <c r="U9" s="710" t="s">
        <v>1311</v>
      </c>
    </row>
    <row r="10" spans="1:29" x14ac:dyDescent="0.25">
      <c r="H10" s="656">
        <v>1000000</v>
      </c>
      <c r="I10" s="346">
        <v>1.3</v>
      </c>
      <c r="J10" s="657">
        <f>H10*I10</f>
        <v>1300000</v>
      </c>
    </row>
    <row r="11" spans="1:29" x14ac:dyDescent="0.25">
      <c r="J11" t="s">
        <v>1302</v>
      </c>
      <c r="K11" s="237">
        <f>115.1/102.4</f>
        <v>1.1240234374999998</v>
      </c>
      <c r="N11" s="720" t="s">
        <v>308</v>
      </c>
      <c r="O11" s="720" t="s">
        <v>308</v>
      </c>
      <c r="P11" s="720" t="s">
        <v>308</v>
      </c>
      <c r="Q11" s="720" t="s">
        <v>308</v>
      </c>
      <c r="R11" s="720" t="s">
        <v>308</v>
      </c>
      <c r="S11" s="720" t="s">
        <v>308</v>
      </c>
      <c r="T11" s="720" t="s">
        <v>308</v>
      </c>
      <c r="U11" s="720" t="s">
        <v>1239</v>
      </c>
      <c r="V11" s="720" t="s">
        <v>309</v>
      </c>
      <c r="W11" s="720" t="s">
        <v>309</v>
      </c>
      <c r="X11" s="720" t="s">
        <v>309</v>
      </c>
      <c r="Y11" s="720" t="s">
        <v>309</v>
      </c>
      <c r="Z11" s="720" t="s">
        <v>309</v>
      </c>
      <c r="AA11" s="720" t="s">
        <v>309</v>
      </c>
      <c r="AB11" s="720" t="s">
        <v>309</v>
      </c>
    </row>
    <row r="12" spans="1:29" ht="15.75" thickBot="1" x14ac:dyDescent="0.3">
      <c r="A12" s="644" t="s">
        <v>1</v>
      </c>
      <c r="B12" s="644" t="s">
        <v>548</v>
      </c>
      <c r="C12" s="644" t="s">
        <v>1291</v>
      </c>
      <c r="D12" s="644" t="s">
        <v>1309</v>
      </c>
      <c r="E12" s="644" t="s">
        <v>1263</v>
      </c>
      <c r="F12" s="644" t="s">
        <v>1108</v>
      </c>
      <c r="G12" s="644" t="s">
        <v>1109</v>
      </c>
      <c r="H12" s="644" t="s">
        <v>1261</v>
      </c>
      <c r="I12" s="660" t="s">
        <v>1187</v>
      </c>
      <c r="J12" s="660" t="s">
        <v>1186</v>
      </c>
      <c r="K12" s="660" t="s">
        <v>1303</v>
      </c>
      <c r="L12" s="660" t="s">
        <v>501</v>
      </c>
      <c r="M12" s="660" t="s">
        <v>1218</v>
      </c>
      <c r="N12" s="660">
        <v>2020</v>
      </c>
      <c r="O12" s="660">
        <v>2025</v>
      </c>
      <c r="P12" s="660">
        <v>2030</v>
      </c>
      <c r="Q12" s="660">
        <v>2035</v>
      </c>
      <c r="R12" s="660">
        <v>2040</v>
      </c>
      <c r="S12" s="660">
        <v>2045</v>
      </c>
      <c r="T12" s="660">
        <v>2050</v>
      </c>
      <c r="U12" s="660" t="s">
        <v>1240</v>
      </c>
      <c r="V12" s="660">
        <v>2020</v>
      </c>
      <c r="W12" s="660">
        <v>2025</v>
      </c>
      <c r="X12" s="660">
        <v>2030</v>
      </c>
      <c r="Y12" s="660">
        <v>2035</v>
      </c>
      <c r="Z12" s="660">
        <v>2040</v>
      </c>
      <c r="AA12" s="660">
        <v>2045</v>
      </c>
      <c r="AB12" s="660">
        <v>2050</v>
      </c>
      <c r="AC12" s="696" t="s">
        <v>1</v>
      </c>
    </row>
    <row r="13" spans="1:29" x14ac:dyDescent="0.25">
      <c r="A13" s="227" t="s">
        <v>921</v>
      </c>
      <c r="B13" s="220" t="str">
        <f>VLOOKUP($A13,ITEMS_Tech_N!$D$6:$E$122,2,FALSE)</f>
        <v>Transport Passenger SUV Priv.Veh. Oil Diesel-N</v>
      </c>
      <c r="C13" s="220" t="s">
        <v>1292</v>
      </c>
      <c r="D13" s="711" t="str">
        <f>IF(C13="PassPriv",C13,"Other")</f>
        <v>PassPriv</v>
      </c>
      <c r="E13" s="220" t="s">
        <v>282</v>
      </c>
      <c r="F13" s="220" t="s">
        <v>1110</v>
      </c>
      <c r="G13" s="220" t="s">
        <v>1111</v>
      </c>
      <c r="H13" s="220" t="s">
        <v>326</v>
      </c>
      <c r="I13" s="656">
        <v>700000</v>
      </c>
      <c r="J13" s="656">
        <f>I13/IF(I13&lt;$J$10,_xlfn.FORECAST.LINEAR(I13,$I$9:$I$10,$J$9:$J$10),1.3)</f>
        <v>605127.40347037674</v>
      </c>
      <c r="K13" s="656">
        <f t="shared" ref="K13:K46" si="0">IFERROR(J13/$K$11,"")</f>
        <v>538358.35026382795</v>
      </c>
      <c r="L13" s="220" t="s">
        <v>1201</v>
      </c>
      <c r="M13" s="220" t="s">
        <v>1202</v>
      </c>
      <c r="N13" s="679" cm="1">
        <f t="array" ref="N13">IFERROR($K13*INDEX(N$2:N$9,MATCH(1,($L$2:$L$9=$D13)*($M$2:$M$9=$H13),0)),"")</f>
        <v>531433.36858461006</v>
      </c>
      <c r="O13" s="679" cm="1">
        <f t="array" ref="O13">IFERROR($K13*INDEX(O$2:O$9,MATCH(1,($L$2:$L$9=$D13)*($M$2:$M$9=$H13),0)),"")</f>
        <v>540089.59568363242</v>
      </c>
      <c r="P13" s="679" cm="1">
        <f t="array" ref="P13">IFERROR($K13*INDEX(P$2:P$9,MATCH(1,($L$2:$L$9=$D13)*($M$2:$M$9=$H13),0)),"")</f>
        <v>548745.82278265501</v>
      </c>
      <c r="Q13" s="679" cm="1">
        <f t="array" ref="Q13">IFERROR($K13*INDEX(Q$2:Q$9,MATCH(1,($L$2:$L$9=$D13)*($M$2:$M$9=$H13),0)),"")</f>
        <v>554771.16992257745</v>
      </c>
      <c r="R13" s="679" cm="1">
        <f t="array" ref="R13">IFERROR($K13*INDEX(R$2:R$9,MATCH(1,($L$2:$L$9=$D13)*($M$2:$M$9=$H13),0)),"")</f>
        <v>560796.51706249989</v>
      </c>
      <c r="S13" s="679" cm="1">
        <f t="array" ref="S13">IFERROR($K13*INDEX(S$2:S$9,MATCH(1,($L$2:$L$9=$D13)*($M$2:$M$9=$H13),0)),"")</f>
        <v>564269.65287362796</v>
      </c>
      <c r="T13" s="679" cm="1">
        <f t="array" ref="T13">IFERROR($K13*INDEX(T$2:T$9,MATCH(1,($L$2:$L$9=$D13)*($M$2:$M$9=$H13),0)),"")</f>
        <v>567742.78868475638</v>
      </c>
      <c r="U13" s="680">
        <f>IF($H13="BEV",0.019,0.027)</f>
        <v>2.7E-2</v>
      </c>
      <c r="V13" s="719">
        <f>IFERROR(N13*$U13,"")</f>
        <v>14348.700951784471</v>
      </c>
      <c r="W13" s="719">
        <f t="shared" ref="W13:W78" si="1">IFERROR(O13*$U13,"")</f>
        <v>14582.419083458075</v>
      </c>
      <c r="X13" s="719">
        <f t="shared" ref="X13:X78" si="2">IFERROR(P13*$U13,"")</f>
        <v>14816.137215131685</v>
      </c>
      <c r="Y13" s="719">
        <f t="shared" ref="Y13:Y78" si="3">IFERROR(Q13*$U13,"")</f>
        <v>14978.821587909591</v>
      </c>
      <c r="Z13" s="719">
        <f t="shared" ref="Z13:Z78" si="4">IFERROR(R13*$U13,"")</f>
        <v>15141.505960687497</v>
      </c>
      <c r="AA13" s="719">
        <f t="shared" ref="AA13:AA78" si="5">IFERROR(S13*$U13,"")</f>
        <v>15235.280627587954</v>
      </c>
      <c r="AB13" s="719">
        <f t="shared" ref="AB13:AB78" si="6">IFERROR(T13*$U13,"")</f>
        <v>15329.055294488422</v>
      </c>
      <c r="AC13" s="681" t="str">
        <f t="shared" ref="AC13:AC46" si="7">A13</f>
        <v>TPPRSUVODS-N</v>
      </c>
    </row>
    <row r="14" spans="1:29" x14ac:dyDescent="0.25">
      <c r="A14" s="227" t="s">
        <v>924</v>
      </c>
      <c r="B14" s="220" t="str">
        <f>VLOOKUP($A14,ITEMS_Tech_N!$D$6:$E$122,2,FALSE)</f>
        <v>Transport Passenger SUV Priv.Veh. Oil Gasoline-N</v>
      </c>
      <c r="C14" s="220" t="s">
        <v>1292</v>
      </c>
      <c r="D14" s="711" t="str">
        <f t="shared" ref="D14:D79" si="8">IF(C14="PassPriv",C14,"Other")</f>
        <v>PassPriv</v>
      </c>
      <c r="E14" s="220" t="s">
        <v>282</v>
      </c>
      <c r="F14" s="220" t="s">
        <v>1110</v>
      </c>
      <c r="G14" s="220" t="s">
        <v>1112</v>
      </c>
      <c r="H14" s="220" t="s">
        <v>326</v>
      </c>
      <c r="I14" s="656">
        <v>600000</v>
      </c>
      <c r="J14" s="656">
        <f>I14/IF(I14&lt;$J$10,_xlfn.FORECAST.LINEAR(I14,$I$9:$I$10,$J$9:$J$10),1.3)</f>
        <v>529608.93854748597</v>
      </c>
      <c r="K14" s="656">
        <f t="shared" si="0"/>
        <v>471172.50484155148</v>
      </c>
      <c r="L14" s="220" t="s">
        <v>1201</v>
      </c>
      <c r="M14" s="220" t="s">
        <v>1200</v>
      </c>
      <c r="N14" s="679" cm="1">
        <f t="array" ref="N14">IFERROR($K14*INDEX(N$2:N$9,MATCH(1,($L$2:$L$9=$D14)*($M$2:$M$9=$H14),0)),"")</f>
        <v>465111.74445364263</v>
      </c>
      <c r="O14" s="679" cm="1">
        <f t="array" ref="O14">IFERROR($K14*INDEX(O$2:O$9,MATCH(1,($L$2:$L$9=$D14)*($M$2:$M$9=$H14),0)),"")</f>
        <v>472687.6949385287</v>
      </c>
      <c r="P14" s="679" cm="1">
        <f t="array" ref="P14">IFERROR($K14*INDEX(P$2:P$9,MATCH(1,($L$2:$L$9=$D14)*($M$2:$M$9=$H14),0)),"")</f>
        <v>480263.64542341494</v>
      </c>
      <c r="Q14" s="679" cm="1">
        <f t="array" ref="Q14">IFERROR($K14*INDEX(Q$2:Q$9,MATCH(1,($L$2:$L$9=$D14)*($M$2:$M$9=$H14),0)),"")</f>
        <v>485537.0435290928</v>
      </c>
      <c r="R14" s="679" cm="1">
        <f t="array" ref="R14">IFERROR($K14*INDEX(R$2:R$9,MATCH(1,($L$2:$L$9=$D14)*($M$2:$M$9=$H14),0)),"")</f>
        <v>490810.44163477066</v>
      </c>
      <c r="S14" s="679" cm="1">
        <f t="array" ref="S14">IFERROR($K14*INDEX(S$2:S$9,MATCH(1,($L$2:$L$9=$D14)*($M$2:$M$9=$H14),0)),"")</f>
        <v>493850.13833304268</v>
      </c>
      <c r="T14" s="679" cm="1">
        <f t="array" ref="T14">IFERROR($K14*INDEX(T$2:T$9,MATCH(1,($L$2:$L$9=$D14)*($M$2:$M$9=$H14),0)),"")</f>
        <v>496889.83503131487</v>
      </c>
      <c r="U14" s="680">
        <f t="shared" ref="U14:U79" si="9">IF($H14="BEV",0.019,0.027)</f>
        <v>2.7E-2</v>
      </c>
      <c r="V14" s="719">
        <f t="shared" ref="V14:V79" si="10">IFERROR(N14*$U14,"")</f>
        <v>12558.017100248351</v>
      </c>
      <c r="W14" s="719">
        <f t="shared" si="1"/>
        <v>12762.567763340276</v>
      </c>
      <c r="X14" s="719">
        <f t="shared" si="2"/>
        <v>12967.118426432204</v>
      </c>
      <c r="Y14" s="719">
        <f t="shared" si="3"/>
        <v>13109.500175285506</v>
      </c>
      <c r="Z14" s="719">
        <f t="shared" si="4"/>
        <v>13251.881924138808</v>
      </c>
      <c r="AA14" s="719">
        <f t="shared" si="5"/>
        <v>13333.953734992152</v>
      </c>
      <c r="AB14" s="719">
        <f t="shared" si="6"/>
        <v>13416.025545845501</v>
      </c>
      <c r="AC14" s="681" t="str">
        <f t="shared" si="7"/>
        <v>TPPRSUVOGS-N</v>
      </c>
    </row>
    <row r="15" spans="1:29" x14ac:dyDescent="0.25">
      <c r="A15" s="227" t="s">
        <v>926</v>
      </c>
      <c r="B15" s="220" t="e">
        <f>VLOOKUP($A15,ITEMS_Tech_N!$D$6:$E$122,2,FALSE)</f>
        <v>#N/A</v>
      </c>
      <c r="C15" s="220" t="s">
        <v>1292</v>
      </c>
      <c r="D15" s="711" t="str">
        <f t="shared" si="8"/>
        <v>PassPriv</v>
      </c>
      <c r="E15" s="220" t="s">
        <v>282</v>
      </c>
      <c r="F15" s="220" t="s">
        <v>1110</v>
      </c>
      <c r="G15" s="220" t="s">
        <v>1113</v>
      </c>
      <c r="H15" s="220" t="s">
        <v>1219</v>
      </c>
      <c r="I15" s="658"/>
      <c r="J15" s="658">
        <f>J16*J13/J14</f>
        <v>695635.22701632592</v>
      </c>
      <c r="K15" s="656">
        <f t="shared" si="0"/>
        <v>618879.64592938125</v>
      </c>
      <c r="L15" s="659" t="s">
        <v>1199</v>
      </c>
      <c r="M15" s="659" t="s">
        <v>1198</v>
      </c>
      <c r="N15" s="679" cm="1">
        <f t="array" ref="N15">IFERROR($K15*INDEX(N$2:N$9,MATCH(1,($L$2:$L$9=$D15)*($M$2:$M$9=$H15),0)),"")</f>
        <v>664126.70630101848</v>
      </c>
      <c r="O15" s="679" cm="1">
        <f t="array" ref="O15">IFERROR($K15*INDEX(O$2:O$9,MATCH(1,($L$2:$L$9=$D15)*($M$2:$M$9=$H15),0)),"")</f>
        <v>618879.64592938125</v>
      </c>
      <c r="P15" s="679" cm="1">
        <f t="array" ref="P15">IFERROR($K15*INDEX(P$2:P$9,MATCH(1,($L$2:$L$9=$D15)*($M$2:$M$9=$H15),0)),"")</f>
        <v>611332.3331741466</v>
      </c>
      <c r="Q15" s="679" cm="1">
        <f t="array" ref="Q15">IFERROR($K15*INDEX(Q$2:Q$9,MATCH(1,($L$2:$L$9=$D15)*($M$2:$M$9=$H15),0)),"")</f>
        <v>573595.76939796435</v>
      </c>
      <c r="R15" s="679" cm="1">
        <f t="array" ref="R15">IFERROR($K15*INDEX(R$2:R$9,MATCH(1,($L$2:$L$9=$D15)*($M$2:$M$9=$H15),0)),"")</f>
        <v>574539.18349236867</v>
      </c>
      <c r="S15" s="679" cm="1">
        <f t="array" ref="S15">IFERROR($K15*INDEX(S$2:S$9,MATCH(1,($L$2:$L$9=$D15)*($M$2:$M$9=$H15),0)),"")</f>
        <v>575482.59758677322</v>
      </c>
      <c r="T15" s="679" cm="1">
        <f t="array" ref="T15">IFERROR($K15*INDEX(T$2:T$9,MATCH(1,($L$2:$L$9=$D15)*($M$2:$M$9=$H15),0)),"")</f>
        <v>576426.01168117765</v>
      </c>
      <c r="U15" s="680">
        <f t="shared" si="9"/>
        <v>2.7E-2</v>
      </c>
      <c r="V15" s="719">
        <f t="shared" si="10"/>
        <v>17931.421070127497</v>
      </c>
      <c r="W15" s="719">
        <f t="shared" si="1"/>
        <v>16709.750440093292</v>
      </c>
      <c r="X15" s="719">
        <f t="shared" si="2"/>
        <v>16505.972995701959</v>
      </c>
      <c r="Y15" s="719">
        <f t="shared" si="3"/>
        <v>15487.085773745037</v>
      </c>
      <c r="Z15" s="719">
        <f t="shared" si="4"/>
        <v>15512.557954293954</v>
      </c>
      <c r="AA15" s="719">
        <f t="shared" si="5"/>
        <v>15538.030134842877</v>
      </c>
      <c r="AB15" s="719">
        <f t="shared" si="6"/>
        <v>15563.502315391797</v>
      </c>
      <c r="AC15" s="681" t="str">
        <f t="shared" si="7"/>
        <v>TPPRSUVODSH-N</v>
      </c>
    </row>
    <row r="16" spans="1:29" x14ac:dyDescent="0.25">
      <c r="A16" s="227" t="s">
        <v>928</v>
      </c>
      <c r="B16" s="220" t="str">
        <f>VLOOKUP($A16,ITEMS_Tech_N!$D$6:$E$122,2,FALSE)</f>
        <v>Transport Passenger SUV Priv.Veh. Oil Gasoline Hybrid-N</v>
      </c>
      <c r="C16" s="220" t="s">
        <v>1292</v>
      </c>
      <c r="D16" s="711" t="str">
        <f t="shared" si="8"/>
        <v>PassPriv</v>
      </c>
      <c r="E16" s="220" t="s">
        <v>282</v>
      </c>
      <c r="F16" s="220" t="s">
        <v>1110</v>
      </c>
      <c r="G16" s="220" t="s">
        <v>1114</v>
      </c>
      <c r="H16" s="220" t="s">
        <v>1219</v>
      </c>
      <c r="I16" s="656">
        <v>705000</v>
      </c>
      <c r="J16" s="656">
        <f>I16/IF(I16&lt;$J$10,_xlfn.FORECAST.LINEAR(I16,$I$9:$I$10,$J$9:$J$10),1.3)</f>
        <v>608821.60034980322</v>
      </c>
      <c r="K16" s="656">
        <f t="shared" si="0"/>
        <v>541644.93376038107</v>
      </c>
      <c r="L16" s="220" t="s">
        <v>1188</v>
      </c>
      <c r="M16" s="220" t="s">
        <v>1189</v>
      </c>
      <c r="N16" s="679" cm="1">
        <f t="array" ref="N16">IFERROR($K16*INDEX(N$2:N$9,MATCH(1,($L$2:$L$9=$D16)*($M$2:$M$9=$H16),0)),"")</f>
        <v>581245.26829884143</v>
      </c>
      <c r="O16" s="679" cm="1">
        <f t="array" ref="O16">IFERROR($K16*INDEX(O$2:O$9,MATCH(1,($L$2:$L$9=$D16)*($M$2:$M$9=$H16),0)),"")</f>
        <v>541644.93376038107</v>
      </c>
      <c r="P16" s="679" cm="1">
        <f t="array" ref="P16">IFERROR($K16*INDEX(P$2:P$9,MATCH(1,($L$2:$L$9=$D16)*($M$2:$M$9=$H16),0)),"")</f>
        <v>535039.50773891446</v>
      </c>
      <c r="Q16" s="679" cm="1">
        <f t="array" ref="Q16">IFERROR($K16*INDEX(Q$2:Q$9,MATCH(1,($L$2:$L$9=$D16)*($M$2:$M$9=$H16),0)),"")</f>
        <v>502012.37763157376</v>
      </c>
      <c r="R16" s="679" cm="1">
        <f t="array" ref="R16">IFERROR($K16*INDEX(R$2:R$9,MATCH(1,($L$2:$L$9=$D16)*($M$2:$M$9=$H16),0)),"")</f>
        <v>502838.05588425702</v>
      </c>
      <c r="S16" s="679" cm="1">
        <f t="array" ref="S16">IFERROR($K16*INDEX(S$2:S$9,MATCH(1,($L$2:$L$9=$D16)*($M$2:$M$9=$H16),0)),"")</f>
        <v>503663.73413694056</v>
      </c>
      <c r="T16" s="679" cm="1">
        <f t="array" ref="T16">IFERROR($K16*INDEX(T$2:T$9,MATCH(1,($L$2:$L$9=$D16)*($M$2:$M$9=$H16),0)),"")</f>
        <v>504489.41238962405</v>
      </c>
      <c r="U16" s="680">
        <f t="shared" si="9"/>
        <v>2.7E-2</v>
      </c>
      <c r="V16" s="719">
        <f t="shared" si="10"/>
        <v>15693.622244068718</v>
      </c>
      <c r="W16" s="719">
        <f t="shared" si="1"/>
        <v>14624.413211530289</v>
      </c>
      <c r="X16" s="719">
        <f t="shared" si="2"/>
        <v>14446.06670895069</v>
      </c>
      <c r="Y16" s="719">
        <f t="shared" si="3"/>
        <v>13554.334196052492</v>
      </c>
      <c r="Z16" s="719">
        <f t="shared" si="4"/>
        <v>13576.627508874939</v>
      </c>
      <c r="AA16" s="719">
        <f t="shared" si="5"/>
        <v>13598.920821697395</v>
      </c>
      <c r="AB16" s="719">
        <f t="shared" si="6"/>
        <v>13621.214134519849</v>
      </c>
      <c r="AC16" s="681" t="str">
        <f t="shared" si="7"/>
        <v>TPPRSUVOGSH-N</v>
      </c>
    </row>
    <row r="17" spans="1:29" x14ac:dyDescent="0.25">
      <c r="A17" s="227" t="s">
        <v>1327</v>
      </c>
      <c r="B17" s="220" t="str">
        <f>VLOOKUP($A17,ITEMS_Tech_N!$D$6:$E$122,2,FALSE)</f>
        <v>Transport Passenger SUV Priv.Veh. Oil Gasoline Plug-in Hybrid-N</v>
      </c>
      <c r="C17" s="220" t="s">
        <v>1292</v>
      </c>
      <c r="D17" s="711" t="str">
        <f t="shared" si="8"/>
        <v>PassPriv</v>
      </c>
      <c r="E17" s="220" t="s">
        <v>282</v>
      </c>
      <c r="F17" s="220" t="s">
        <v>1110</v>
      </c>
      <c r="G17" s="220" t="s">
        <v>1141</v>
      </c>
      <c r="H17" s="220" t="s">
        <v>1219</v>
      </c>
      <c r="I17" s="733">
        <v>1100000</v>
      </c>
      <c r="J17" s="733">
        <f>I17/IF(I17&lt;$J$10,_xlfn.FORECAST.LINEAR(I17,$I$9:$I$10,$J$9:$J$10),1.3)</f>
        <v>878411.5523465703</v>
      </c>
      <c r="K17" s="733">
        <f t="shared" si="0"/>
        <v>781488.64431180549</v>
      </c>
      <c r="L17" s="734" t="s">
        <v>1188</v>
      </c>
      <c r="M17" s="734" t="s">
        <v>1332</v>
      </c>
      <c r="N17" s="679" cm="1">
        <f t="array" ref="N17">IFERROR($K17*INDEX(N$2:N$9,MATCH(1,($L$2:$L$9=$D17)*($M$2:$M$9=$H17),0)),"")</f>
        <v>838624.25072817819</v>
      </c>
      <c r="O17" s="679" cm="1">
        <f t="array" ref="O17">IFERROR($K17*INDEX(O$2:O$9,MATCH(1,($L$2:$L$9=$D17)*($M$2:$M$9=$H17),0)),"")</f>
        <v>781488.64431180549</v>
      </c>
      <c r="P17" s="679" cm="1">
        <f t="array" ref="P17">IFERROR($K17*INDEX(P$2:P$9,MATCH(1,($L$2:$L$9=$D17)*($M$2:$M$9=$H17),0)),"")</f>
        <v>771958.29499093199</v>
      </c>
      <c r="Q17" s="679" cm="1">
        <f t="array" ref="Q17">IFERROR($K17*INDEX(Q$2:Q$9,MATCH(1,($L$2:$L$9=$D17)*($M$2:$M$9=$H17),0)),"")</f>
        <v>724306.54838655295</v>
      </c>
      <c r="R17" s="679" cm="1">
        <f t="array" ref="R17">IFERROR($K17*INDEX(R$2:R$9,MATCH(1,($L$2:$L$9=$D17)*($M$2:$M$9=$H17),0)),"")</f>
        <v>725497.84205166204</v>
      </c>
      <c r="S17" s="679" cm="1">
        <f t="array" ref="S17">IFERROR($K17*INDEX(S$2:S$9,MATCH(1,($L$2:$L$9=$D17)*($M$2:$M$9=$H17),0)),"")</f>
        <v>726689.13571677159</v>
      </c>
      <c r="T17" s="679" cm="1">
        <f t="array" ref="T17">IFERROR($K17*INDEX(T$2:T$9,MATCH(1,($L$2:$L$9=$D17)*($M$2:$M$9=$H17),0)),"")</f>
        <v>727880.42938188103</v>
      </c>
      <c r="U17" s="680">
        <f t="shared" si="9"/>
        <v>2.7E-2</v>
      </c>
      <c r="V17" s="719">
        <f t="shared" ref="V17" si="11">IFERROR(N17*$U17,"")</f>
        <v>22642.854769660811</v>
      </c>
      <c r="W17" s="719">
        <f t="shared" ref="W17" si="12">IFERROR(O17*$U17,"")</f>
        <v>21100.193396418748</v>
      </c>
      <c r="X17" s="719">
        <f t="shared" ref="X17" si="13">IFERROR(P17*$U17,"")</f>
        <v>20842.873964755163</v>
      </c>
      <c r="Y17" s="719">
        <f t="shared" ref="Y17" si="14">IFERROR(Q17*$U17,"")</f>
        <v>19556.27680643693</v>
      </c>
      <c r="Z17" s="719">
        <f t="shared" ref="Z17" si="15">IFERROR(R17*$U17,"")</f>
        <v>19588.441735394874</v>
      </c>
      <c r="AA17" s="719">
        <f t="shared" ref="AA17" si="16">IFERROR(S17*$U17,"")</f>
        <v>19620.606664352832</v>
      </c>
      <c r="AB17" s="719">
        <f t="shared" ref="AB17" si="17">IFERROR(T17*$U17,"")</f>
        <v>19652.771593310787</v>
      </c>
      <c r="AC17" s="681" t="str">
        <f t="shared" si="7"/>
        <v>TPPRSUVOGSP-N</v>
      </c>
    </row>
    <row r="18" spans="1:29" x14ac:dyDescent="0.25">
      <c r="A18" s="227" t="s">
        <v>930</v>
      </c>
      <c r="B18" s="220" t="e">
        <f>VLOOKUP($A18,ITEMS_Tech_N!$D$6:$E$122,2,FALSE)</f>
        <v>#N/A</v>
      </c>
      <c r="C18" s="220" t="s">
        <v>1292</v>
      </c>
      <c r="D18" s="711" t="str">
        <f t="shared" si="8"/>
        <v>PassPriv</v>
      </c>
      <c r="E18" s="220" t="s">
        <v>282</v>
      </c>
      <c r="F18" s="220" t="s">
        <v>1110</v>
      </c>
      <c r="G18" s="220" t="s">
        <v>1115</v>
      </c>
      <c r="H18" s="220" t="s">
        <v>326</v>
      </c>
      <c r="I18" s="656"/>
      <c r="J18" s="661" t="s">
        <v>504</v>
      </c>
      <c r="K18" s="656" t="str">
        <f t="shared" si="0"/>
        <v/>
      </c>
      <c r="L18" s="220"/>
      <c r="M18" s="220"/>
      <c r="N18" s="679" t="str" cm="1">
        <f t="array" ref="N18">IFERROR($K18*INDEX(N$2:N$9,MATCH(1,($L$2:$L$9=$D18)*($M$2:$M$9=$H18),0)),"")</f>
        <v/>
      </c>
      <c r="O18" s="679" t="str" cm="1">
        <f t="array" ref="O18">IFERROR($K18*INDEX(O$2:O$9,MATCH(1,($L$2:$L$9=$D18)*($M$2:$M$9=$H18),0)),"")</f>
        <v/>
      </c>
      <c r="P18" s="679" t="str" cm="1">
        <f t="array" ref="P18">IFERROR($K18*INDEX(P$2:P$9,MATCH(1,($L$2:$L$9=$D18)*($M$2:$M$9=$H18),0)),"")</f>
        <v/>
      </c>
      <c r="Q18" s="679" t="str" cm="1">
        <f t="array" ref="Q18">IFERROR($K18*INDEX(Q$2:Q$9,MATCH(1,($L$2:$L$9=$D18)*($M$2:$M$9=$H18),0)),"")</f>
        <v/>
      </c>
      <c r="R18" s="679" t="str" cm="1">
        <f t="array" ref="R18">IFERROR($K18*INDEX(R$2:R$9,MATCH(1,($L$2:$L$9=$D18)*($M$2:$M$9=$H18),0)),"")</f>
        <v/>
      </c>
      <c r="S18" s="679" t="str" cm="1">
        <f t="array" ref="S18">IFERROR($K18*INDEX(S$2:S$9,MATCH(1,($L$2:$L$9=$D18)*($M$2:$M$9=$H18),0)),"")</f>
        <v/>
      </c>
      <c r="T18" s="679" t="str" cm="1">
        <f t="array" ref="T18">IFERROR($K18*INDEX(T$2:T$9,MATCH(1,($L$2:$L$9=$D18)*($M$2:$M$9=$H18),0)),"")</f>
        <v/>
      </c>
      <c r="U18" s="680">
        <f t="shared" si="9"/>
        <v>2.7E-2</v>
      </c>
      <c r="V18" s="719" t="str">
        <f t="shared" si="10"/>
        <v/>
      </c>
      <c r="W18" s="719" t="str">
        <f t="shared" si="1"/>
        <v/>
      </c>
      <c r="X18" s="719" t="str">
        <f t="shared" si="2"/>
        <v/>
      </c>
      <c r="Y18" s="719" t="str">
        <f t="shared" si="3"/>
        <v/>
      </c>
      <c r="Z18" s="719" t="str">
        <f t="shared" si="4"/>
        <v/>
      </c>
      <c r="AA18" s="719" t="str">
        <f t="shared" si="5"/>
        <v/>
      </c>
      <c r="AB18" s="719" t="str">
        <f t="shared" si="6"/>
        <v/>
      </c>
      <c r="AC18" s="681" t="str">
        <f t="shared" si="7"/>
        <v>TPPRSUVGAS-N</v>
      </c>
    </row>
    <row r="19" spans="1:29" x14ac:dyDescent="0.25">
      <c r="A19" s="227" t="s">
        <v>932</v>
      </c>
      <c r="B19" s="220" t="str">
        <f>VLOOKUP($A19,ITEMS_Tech_N!$D$6:$E$122,2,FALSE)</f>
        <v>Transport Passenger SUV Priv.Veh. Hydrogen Fuel Cell-N</v>
      </c>
      <c r="C19" s="220" t="s">
        <v>1292</v>
      </c>
      <c r="D19" s="711" t="str">
        <f t="shared" si="8"/>
        <v>PassPriv</v>
      </c>
      <c r="E19" s="220" t="s">
        <v>282</v>
      </c>
      <c r="F19" s="220" t="s">
        <v>1110</v>
      </c>
      <c r="G19" s="220" t="s">
        <v>1116</v>
      </c>
      <c r="H19" s="220" t="s">
        <v>1116</v>
      </c>
      <c r="I19" s="220"/>
      <c r="J19" s="658">
        <f>J21*J29/J27</f>
        <v>1521694.0029946191</v>
      </c>
      <c r="K19" s="656">
        <f t="shared" si="0"/>
        <v>1353792.0582680192</v>
      </c>
      <c r="L19" s="659" t="s">
        <v>1199</v>
      </c>
      <c r="M19" s="659" t="s">
        <v>1204</v>
      </c>
      <c r="N19" s="679" cm="1">
        <f t="array" ref="N19">IFERROR($K19*INDEX(N$2:N$9,MATCH(1,($L$2:$L$9=$D19)*($M$2:$M$9=$H19),0)),"")</f>
        <v>1632513.9526173305</v>
      </c>
      <c r="O19" s="679" cm="1">
        <f t="array" ref="O19">IFERROR($K19*INDEX(O$2:O$9,MATCH(1,($L$2:$L$9=$D19)*($M$2:$M$9=$H19),0)),"")</f>
        <v>1353792.0582680192</v>
      </c>
      <c r="P19" s="679" cm="1">
        <f t="array" ref="P19">IFERROR($K19*INDEX(P$2:P$9,MATCH(1,($L$2:$L$9=$D19)*($M$2:$M$9=$H19),0)),"")</f>
        <v>1274157.2313110947</v>
      </c>
      <c r="Q19" s="679" cm="1">
        <f t="array" ref="Q19">IFERROR($K19*INDEX(Q$2:Q$9,MATCH(1,($L$2:$L$9=$D19)*($M$2:$M$9=$H19),0)),"")</f>
        <v>875983.09652636421</v>
      </c>
      <c r="R19" s="679" cm="1">
        <f t="array" ref="R19">IFERROR($K19*INDEX(R$2:R$9,MATCH(1,($L$2:$L$9=$D19)*($M$2:$M$9=$H19),0)),"")</f>
        <v>796348.26956943946</v>
      </c>
      <c r="S19" s="679" cm="1">
        <f t="array" ref="S19">IFERROR($K19*INDEX(S$2:S$9,MATCH(1,($L$2:$L$9=$D19)*($M$2:$M$9=$H19),0)),"")</f>
        <v>716713.44261249341</v>
      </c>
      <c r="T19" s="679" cm="1">
        <f t="array" ref="T19">IFERROR($K19*INDEX(T$2:T$9,MATCH(1,($L$2:$L$9=$D19)*($M$2:$M$9=$H19),0)),"")</f>
        <v>637078.61565554736</v>
      </c>
      <c r="U19" s="680">
        <f t="shared" si="9"/>
        <v>2.7E-2</v>
      </c>
      <c r="V19" s="719">
        <f t="shared" si="10"/>
        <v>44077.876720667926</v>
      </c>
      <c r="W19" s="719">
        <f t="shared" si="1"/>
        <v>36552.385573236519</v>
      </c>
      <c r="X19" s="719">
        <f t="shared" si="2"/>
        <v>34402.245245399557</v>
      </c>
      <c r="Y19" s="719">
        <f t="shared" si="3"/>
        <v>23651.543606211835</v>
      </c>
      <c r="Z19" s="719">
        <f t="shared" si="4"/>
        <v>21501.403278374866</v>
      </c>
      <c r="AA19" s="719">
        <f t="shared" si="5"/>
        <v>19351.262950537322</v>
      </c>
      <c r="AB19" s="719">
        <f t="shared" si="6"/>
        <v>17201.122622699779</v>
      </c>
      <c r="AC19" s="681" t="str">
        <f t="shared" si="7"/>
        <v>TPPRSUVHGNF-N</v>
      </c>
    </row>
    <row r="20" spans="1:29" x14ac:dyDescent="0.25">
      <c r="A20" s="227" t="s">
        <v>934</v>
      </c>
      <c r="B20" s="220" t="e">
        <f>VLOOKUP($A20,ITEMS_Tech_N!$D$6:$E$122,2,FALSE)</f>
        <v>#N/A</v>
      </c>
      <c r="C20" s="220" t="s">
        <v>1292</v>
      </c>
      <c r="D20" s="711" t="str">
        <f t="shared" si="8"/>
        <v>PassPriv</v>
      </c>
      <c r="E20" s="220" t="s">
        <v>282</v>
      </c>
      <c r="F20" s="220" t="s">
        <v>1110</v>
      </c>
      <c r="G20" s="642" t="s">
        <v>1112</v>
      </c>
      <c r="H20" s="220" t="s">
        <v>326</v>
      </c>
      <c r="I20" s="656"/>
      <c r="J20" s="658">
        <f>J14</f>
        <v>529608.93854748597</v>
      </c>
      <c r="K20" s="656">
        <f t="shared" si="0"/>
        <v>471172.50484155148</v>
      </c>
      <c r="L20" s="659" t="s">
        <v>1199</v>
      </c>
      <c r="M20" s="659" t="s">
        <v>1205</v>
      </c>
      <c r="N20" s="679" cm="1">
        <f t="array" ref="N20">IFERROR($K20*INDEX(N$2:N$9,MATCH(1,($L$2:$L$9=$D20)*($M$2:$M$9=$H20),0)),"")</f>
        <v>465111.74445364263</v>
      </c>
      <c r="O20" s="679" cm="1">
        <f t="array" ref="O20">IFERROR($K20*INDEX(O$2:O$9,MATCH(1,($L$2:$L$9=$D20)*($M$2:$M$9=$H20),0)),"")</f>
        <v>472687.6949385287</v>
      </c>
      <c r="P20" s="679" cm="1">
        <f t="array" ref="P20">IFERROR($K20*INDEX(P$2:P$9,MATCH(1,($L$2:$L$9=$D20)*($M$2:$M$9=$H20),0)),"")</f>
        <v>480263.64542341494</v>
      </c>
      <c r="Q20" s="679" cm="1">
        <f t="array" ref="Q20">IFERROR($K20*INDEX(Q$2:Q$9,MATCH(1,($L$2:$L$9=$D20)*($M$2:$M$9=$H20),0)),"")</f>
        <v>485537.0435290928</v>
      </c>
      <c r="R20" s="679" cm="1">
        <f t="array" ref="R20">IFERROR($K20*INDEX(R$2:R$9,MATCH(1,($L$2:$L$9=$D20)*($M$2:$M$9=$H20),0)),"")</f>
        <v>490810.44163477066</v>
      </c>
      <c r="S20" s="679" cm="1">
        <f t="array" ref="S20">IFERROR($K20*INDEX(S$2:S$9,MATCH(1,($L$2:$L$9=$D20)*($M$2:$M$9=$H20),0)),"")</f>
        <v>493850.13833304268</v>
      </c>
      <c r="T20" s="679" cm="1">
        <f t="array" ref="T20">IFERROR($K20*INDEX(T$2:T$9,MATCH(1,($L$2:$L$9=$D20)*($M$2:$M$9=$H20),0)),"")</f>
        <v>496889.83503131487</v>
      </c>
      <c r="U20" s="680">
        <f t="shared" si="9"/>
        <v>2.7E-2</v>
      </c>
      <c r="V20" s="719">
        <f t="shared" si="10"/>
        <v>12558.017100248351</v>
      </c>
      <c r="W20" s="719">
        <f t="shared" si="1"/>
        <v>12762.567763340276</v>
      </c>
      <c r="X20" s="719">
        <f t="shared" si="2"/>
        <v>12967.118426432204</v>
      </c>
      <c r="Y20" s="719">
        <f t="shared" si="3"/>
        <v>13109.500175285506</v>
      </c>
      <c r="Z20" s="719">
        <f t="shared" si="4"/>
        <v>13251.881924138808</v>
      </c>
      <c r="AA20" s="719">
        <f t="shared" si="5"/>
        <v>13333.953734992152</v>
      </c>
      <c r="AB20" s="719">
        <f t="shared" si="6"/>
        <v>13416.025545845501</v>
      </c>
      <c r="AC20" s="681" t="str">
        <f t="shared" si="7"/>
        <v>TPPRSUVBGS-N</v>
      </c>
    </row>
    <row r="21" spans="1:29" x14ac:dyDescent="0.25">
      <c r="A21" s="227" t="s">
        <v>936</v>
      </c>
      <c r="B21" s="220" t="str">
        <f>VLOOKUP($A21,ITEMS_Tech_N!$D$6:$E$122,2,FALSE)</f>
        <v>Transport Passenger SUV Priv.Veh. Electricity-N</v>
      </c>
      <c r="C21" s="220" t="s">
        <v>1292</v>
      </c>
      <c r="D21" s="711" t="str">
        <f t="shared" si="8"/>
        <v>PassPriv</v>
      </c>
      <c r="E21" s="220" t="s">
        <v>282</v>
      </c>
      <c r="F21" s="220" t="s">
        <v>1110</v>
      </c>
      <c r="G21" s="220" t="s">
        <v>1117</v>
      </c>
      <c r="H21" s="220" t="s">
        <v>1117</v>
      </c>
      <c r="I21" s="656">
        <v>870000</v>
      </c>
      <c r="J21" s="656">
        <f>I21/IF(I21&lt;$J$10,_xlfn.FORECAST.LINEAR(I21,$I$9:$I$10,$J$9:$J$10),1.3)</f>
        <v>726598.60452472279</v>
      </c>
      <c r="K21" s="656">
        <f t="shared" si="0"/>
        <v>646426.56041122181</v>
      </c>
      <c r="L21" s="220" t="s">
        <v>1188</v>
      </c>
      <c r="M21" s="220" t="s">
        <v>1304</v>
      </c>
      <c r="N21" s="679" cm="1">
        <f t="array" ref="N21">IFERROR($K21*INDEX(N$2:N$9,MATCH(1,($L$2:$L$9=$D21)*($M$2:$M$9=$H21),0)),"")</f>
        <v>715567.54560985044</v>
      </c>
      <c r="O21" s="679" cm="1">
        <f t="array" ref="O21">IFERROR($K21*INDEX(O$2:O$9,MATCH(1,($L$2:$L$9=$D21)*($M$2:$M$9=$H21),0)),"")</f>
        <v>646426.56041122181</v>
      </c>
      <c r="P21" s="679" cm="1">
        <f t="array" ref="P21">IFERROR($K21*INDEX(P$2:P$9,MATCH(1,($L$2:$L$9=$D21)*($M$2:$M$9=$H21),0)),"")</f>
        <v>628100.03421399835</v>
      </c>
      <c r="Q21" s="679" cm="1">
        <f t="array" ref="Q21">IFERROR($K21*INDEX(Q$2:Q$9,MATCH(1,($L$2:$L$9=$D21)*($M$2:$M$9=$H21),0)),"")</f>
        <v>536467.40322787163</v>
      </c>
      <c r="R21" s="679" cm="1">
        <f t="array" ref="R21">IFERROR($K21*INDEX(R$2:R$9,MATCH(1,($L$2:$L$9=$D21)*($M$2:$M$9=$H21),0)),"")</f>
        <v>519806.92486675939</v>
      </c>
      <c r="S21" s="679" cm="1">
        <f t="array" ref="S21">IFERROR($K21*INDEX(S$2:S$9,MATCH(1,($L$2:$L$9=$D21)*($M$2:$M$9=$H21),0)),"")</f>
        <v>503146.44650564581</v>
      </c>
      <c r="T21" s="679" cm="1">
        <f t="array" ref="T21">IFERROR($K21*INDEX(T$2:T$9,MATCH(1,($L$2:$L$9=$D21)*($M$2:$M$9=$H21),0)),"")</f>
        <v>486485.96814453235</v>
      </c>
      <c r="U21" s="680">
        <f t="shared" si="9"/>
        <v>1.9E-2</v>
      </c>
      <c r="V21" s="719">
        <f t="shared" si="10"/>
        <v>13595.783366587159</v>
      </c>
      <c r="W21" s="719">
        <f t="shared" si="1"/>
        <v>12282.104647813214</v>
      </c>
      <c r="X21" s="719">
        <f t="shared" si="2"/>
        <v>11933.900650065969</v>
      </c>
      <c r="Y21" s="719">
        <f t="shared" si="3"/>
        <v>10192.88066132956</v>
      </c>
      <c r="Z21" s="719">
        <f t="shared" si="4"/>
        <v>9876.3315724684289</v>
      </c>
      <c r="AA21" s="719">
        <f t="shared" si="5"/>
        <v>9559.7824836072705</v>
      </c>
      <c r="AB21" s="719">
        <f t="shared" si="6"/>
        <v>9243.2333947461138</v>
      </c>
      <c r="AC21" s="681" t="str">
        <f t="shared" si="7"/>
        <v>TPPRSUVELC-N</v>
      </c>
    </row>
    <row r="22" spans="1:29" x14ac:dyDescent="0.25">
      <c r="A22" s="227" t="s">
        <v>938</v>
      </c>
      <c r="B22" s="220" t="str">
        <f>VLOOKUP($A22,ITEMS_Tech_N!$D$6:$E$122,2,FALSE)</f>
        <v>Transport Passenger Car Priv.Veh. Oil Diesel-N</v>
      </c>
      <c r="C22" s="220" t="s">
        <v>1292</v>
      </c>
      <c r="D22" s="711" t="str">
        <f t="shared" si="8"/>
        <v>PassPriv</v>
      </c>
      <c r="E22" s="220" t="s">
        <v>137</v>
      </c>
      <c r="F22" s="220" t="s">
        <v>1118</v>
      </c>
      <c r="G22" s="220" t="s">
        <v>1111</v>
      </c>
      <c r="H22" s="220" t="s">
        <v>326</v>
      </c>
      <c r="I22" s="658">
        <v>420000</v>
      </c>
      <c r="J22" s="658">
        <f>I22/IF(I22&lt;$J$10,_xlfn.FORECAST.LINEAR(I22,$I$9:$I$10,$J$9:$J$10),1.3)</f>
        <v>385340.27939078212</v>
      </c>
      <c r="K22" s="656">
        <f t="shared" si="0"/>
        <v>342822.28157789831</v>
      </c>
      <c r="L22" s="659" t="s">
        <v>1199</v>
      </c>
      <c r="M22" s="659" t="s">
        <v>1241</v>
      </c>
      <c r="N22" s="679" cm="1">
        <f t="array" ref="N22">IFERROR($K22*INDEX(N$2:N$9,MATCH(1,($L$2:$L$9=$D22)*($M$2:$M$9=$H22),0)),"")</f>
        <v>338412.50876023661</v>
      </c>
      <c r="O22" s="679" cm="1">
        <f t="array" ref="O22">IFERROR($K22*INDEX(O$2:O$9,MATCH(1,($L$2:$L$9=$D22)*($M$2:$M$9=$H22),0)),"")</f>
        <v>343924.72478231374</v>
      </c>
      <c r="P22" s="679" cm="1">
        <f t="array" ref="P22">IFERROR($K22*INDEX(P$2:P$9,MATCH(1,($L$2:$L$9=$D22)*($M$2:$M$9=$H22),0)),"")</f>
        <v>349436.94080439105</v>
      </c>
      <c r="Q22" s="679" cm="1">
        <f t="array" ref="Q22">IFERROR($K22*INDEX(Q$2:Q$9,MATCH(1,($L$2:$L$9=$D22)*($M$2:$M$9=$H22),0)),"")</f>
        <v>353273.83355955087</v>
      </c>
      <c r="R22" s="679" cm="1">
        <f t="array" ref="R22">IFERROR($K22*INDEX(R$2:R$9,MATCH(1,($L$2:$L$9=$D22)*($M$2:$M$9=$H22),0)),"")</f>
        <v>357110.72631471069</v>
      </c>
      <c r="S22" s="679" cm="1">
        <f t="array" ref="S22">IFERROR($K22*INDEX(S$2:S$9,MATCH(1,($L$2:$L$9=$D22)*($M$2:$M$9=$H22),0)),"")</f>
        <v>359322.39135606709</v>
      </c>
      <c r="T22" s="679" cm="1">
        <f t="array" ref="T22">IFERROR($K22*INDEX(T$2:T$9,MATCH(1,($L$2:$L$9=$D22)*($M$2:$M$9=$H22),0)),"")</f>
        <v>361534.05639742367</v>
      </c>
      <c r="U22" s="680">
        <f t="shared" si="9"/>
        <v>2.7E-2</v>
      </c>
      <c r="V22" s="719">
        <f t="shared" si="10"/>
        <v>9137.1377365263888</v>
      </c>
      <c r="W22" s="719">
        <f t="shared" si="1"/>
        <v>9285.9675691224711</v>
      </c>
      <c r="X22" s="719">
        <f t="shared" si="2"/>
        <v>9434.7974017185588</v>
      </c>
      <c r="Y22" s="719">
        <f t="shared" si="3"/>
        <v>9538.3935061078737</v>
      </c>
      <c r="Z22" s="719">
        <f t="shared" si="4"/>
        <v>9641.9896104971886</v>
      </c>
      <c r="AA22" s="719">
        <f t="shared" si="5"/>
        <v>9701.704566613811</v>
      </c>
      <c r="AB22" s="719">
        <f t="shared" si="6"/>
        <v>9761.419522730439</v>
      </c>
      <c r="AC22" s="681" t="str">
        <f t="shared" si="7"/>
        <v>TPPRCARODS-N</v>
      </c>
    </row>
    <row r="23" spans="1:29" x14ac:dyDescent="0.25">
      <c r="A23" s="227" t="s">
        <v>940</v>
      </c>
      <c r="B23" s="220" t="str">
        <f>VLOOKUP($A23,ITEMS_Tech_N!$D$6:$E$122,2,FALSE)</f>
        <v>Transport Passenger Car Priv.Veh. Oil Gasoline-N</v>
      </c>
      <c r="C23" s="220" t="s">
        <v>1292</v>
      </c>
      <c r="D23" s="711" t="str">
        <f t="shared" si="8"/>
        <v>PassPriv</v>
      </c>
      <c r="E23" s="220" t="s">
        <v>137</v>
      </c>
      <c r="F23" s="220" t="s">
        <v>1118</v>
      </c>
      <c r="G23" s="220" t="s">
        <v>1112</v>
      </c>
      <c r="H23" s="220" t="s">
        <v>326</v>
      </c>
      <c r="I23" s="656">
        <v>350000</v>
      </c>
      <c r="J23" s="656">
        <f>I23/IF(I23&lt;$J$10,_xlfn.FORECAST.LINEAR(I23,$I$9:$I$10,$J$9:$J$10),1.3)</f>
        <v>326116.25947767479</v>
      </c>
      <c r="K23" s="656">
        <f t="shared" si="0"/>
        <v>290132.97107310081</v>
      </c>
      <c r="L23" s="220" t="s">
        <v>1188</v>
      </c>
      <c r="M23" s="220" t="s">
        <v>1308</v>
      </c>
      <c r="N23" s="679" cm="1">
        <f t="array" ref="N23">IFERROR($K23*INDEX(N$2:N$9,MATCH(1,($L$2:$L$9=$D23)*($M$2:$M$9=$H23),0)),"")</f>
        <v>286400.9485118576</v>
      </c>
      <c r="O23" s="679" cm="1">
        <f t="array" ref="O23">IFERROR($K23*INDEX(O$2:O$9,MATCH(1,($L$2:$L$9=$D23)*($M$2:$M$9=$H23),0)),"")</f>
        <v>291065.97671341163</v>
      </c>
      <c r="P23" s="679" cm="1">
        <f t="array" ref="P23">IFERROR($K23*INDEX(P$2:P$9,MATCH(1,($L$2:$L$9=$D23)*($M$2:$M$9=$H23),0)),"")</f>
        <v>295731.00491496577</v>
      </c>
      <c r="Q23" s="679" cm="1">
        <f t="array" ref="Q23">IFERROR($K23*INDEX(Q$2:Q$9,MATCH(1,($L$2:$L$9=$D23)*($M$2:$M$9=$H23),0)),"")</f>
        <v>298978.19494479592</v>
      </c>
      <c r="R23" s="679" cm="1">
        <f t="array" ref="R23">IFERROR($K23*INDEX(R$2:R$9,MATCH(1,($L$2:$L$9=$D23)*($M$2:$M$9=$H23),0)),"")</f>
        <v>302225.38497462607</v>
      </c>
      <c r="S23" s="679" cm="1">
        <f t="array" ref="S23">IFERROR($K23*INDEX(S$2:S$9,MATCH(1,($L$2:$L$9=$D23)*($M$2:$M$9=$H23),0)),"")</f>
        <v>304097.13306087593</v>
      </c>
      <c r="T23" s="679" cm="1">
        <f t="array" ref="T23">IFERROR($K23*INDEX(T$2:T$9,MATCH(1,($L$2:$L$9=$D23)*($M$2:$M$9=$H23),0)),"")</f>
        <v>305968.88114712597</v>
      </c>
      <c r="U23" s="680">
        <f t="shared" si="9"/>
        <v>2.7E-2</v>
      </c>
      <c r="V23" s="719">
        <f t="shared" si="10"/>
        <v>7732.8256098201555</v>
      </c>
      <c r="W23" s="719">
        <f t="shared" si="1"/>
        <v>7858.7813712621137</v>
      </c>
      <c r="X23" s="719">
        <f t="shared" si="2"/>
        <v>7984.7371327040755</v>
      </c>
      <c r="Y23" s="719">
        <f t="shared" si="3"/>
        <v>8072.4112635094898</v>
      </c>
      <c r="Z23" s="719">
        <f t="shared" si="4"/>
        <v>8160.0853943149041</v>
      </c>
      <c r="AA23" s="719">
        <f t="shared" si="5"/>
        <v>8210.6225926436509</v>
      </c>
      <c r="AB23" s="719">
        <f t="shared" si="6"/>
        <v>8261.1597909724005</v>
      </c>
      <c r="AC23" s="681" t="str">
        <f t="shared" si="7"/>
        <v>TPPRCAROGS-N</v>
      </c>
    </row>
    <row r="24" spans="1:29" x14ac:dyDescent="0.25">
      <c r="A24" s="227" t="s">
        <v>942</v>
      </c>
      <c r="B24" s="220" t="e">
        <f>VLOOKUP($A24,ITEMS_Tech_N!$D$6:$E$122,2,FALSE)</f>
        <v>#N/A</v>
      </c>
      <c r="C24" s="220" t="s">
        <v>1292</v>
      </c>
      <c r="D24" s="711" t="str">
        <f t="shared" si="8"/>
        <v>PassPriv</v>
      </c>
      <c r="E24" s="220" t="s">
        <v>137</v>
      </c>
      <c r="F24" s="220" t="s">
        <v>1118</v>
      </c>
      <c r="G24" s="220" t="s">
        <v>1113</v>
      </c>
      <c r="H24" s="220" t="s">
        <v>1219</v>
      </c>
      <c r="I24" s="656"/>
      <c r="J24" s="658">
        <f>J25*J22/J23</f>
        <v>509776.9989331222</v>
      </c>
      <c r="K24" s="656">
        <f t="shared" si="0"/>
        <v>453528.79835579253</v>
      </c>
      <c r="L24" s="659" t="s">
        <v>1199</v>
      </c>
      <c r="M24" s="659" t="s">
        <v>1203</v>
      </c>
      <c r="N24" s="679" cm="1">
        <f t="array" ref="N24">IFERROR($K24*INDEX(N$2:N$9,MATCH(1,($L$2:$L$9=$D24)*($M$2:$M$9=$H24),0)),"")</f>
        <v>486686.85267936648</v>
      </c>
      <c r="O24" s="679" cm="1">
        <f t="array" ref="O24">IFERROR($K24*INDEX(O$2:O$9,MATCH(1,($L$2:$L$9=$D24)*($M$2:$M$9=$H24),0)),"")</f>
        <v>453528.79835579253</v>
      </c>
      <c r="P24" s="679" cm="1">
        <f t="array" ref="P24">IFERROR($K24*INDEX(P$2:P$9,MATCH(1,($L$2:$L$9=$D24)*($M$2:$M$9=$H24),0)),"")</f>
        <v>447997.95935145486</v>
      </c>
      <c r="Q24" s="679" cm="1">
        <f t="array" ref="Q24">IFERROR($K24*INDEX(Q$2:Q$9,MATCH(1,($L$2:$L$9=$D24)*($M$2:$M$9=$H24),0)),"")</f>
        <v>420343.76432975981</v>
      </c>
      <c r="R24" s="679" cm="1">
        <f t="array" ref="R24">IFERROR($K24*INDEX(R$2:R$9,MATCH(1,($L$2:$L$9=$D24)*($M$2:$M$9=$H24),0)),"")</f>
        <v>421035.11920530198</v>
      </c>
      <c r="S24" s="679" cm="1">
        <f t="array" ref="S24">IFERROR($K24*INDEX(S$2:S$9,MATCH(1,($L$2:$L$9=$D24)*($M$2:$M$9=$H24),0)),"")</f>
        <v>421726.47408084437</v>
      </c>
      <c r="T24" s="679" cm="1">
        <f t="array" ref="T24">IFERROR($K24*INDEX(T$2:T$9,MATCH(1,($L$2:$L$9=$D24)*($M$2:$M$9=$H24),0)),"")</f>
        <v>422417.82895638671</v>
      </c>
      <c r="U24" s="680">
        <f t="shared" si="9"/>
        <v>2.7E-2</v>
      </c>
      <c r="V24" s="719">
        <f t="shared" si="10"/>
        <v>13140.545022342894</v>
      </c>
      <c r="W24" s="719">
        <f t="shared" si="1"/>
        <v>12245.277555606399</v>
      </c>
      <c r="X24" s="719">
        <f t="shared" si="2"/>
        <v>12095.944902489282</v>
      </c>
      <c r="Y24" s="719">
        <f t="shared" si="3"/>
        <v>11349.281636903515</v>
      </c>
      <c r="Z24" s="719">
        <f t="shared" si="4"/>
        <v>11367.948218543153</v>
      </c>
      <c r="AA24" s="719">
        <f t="shared" si="5"/>
        <v>11386.614800182799</v>
      </c>
      <c r="AB24" s="719">
        <f t="shared" si="6"/>
        <v>11405.28138182244</v>
      </c>
      <c r="AC24" s="681" t="str">
        <f t="shared" si="7"/>
        <v>TPPRCARODSH-N</v>
      </c>
    </row>
    <row r="25" spans="1:29" x14ac:dyDescent="0.25">
      <c r="A25" s="227" t="s">
        <v>944</v>
      </c>
      <c r="B25" s="220" t="str">
        <f>VLOOKUP($A25,ITEMS_Tech_N!$D$6:$E$122,2,FALSE)</f>
        <v>Transport Passenger Car Priv.Veh. Oil Gasoline Hybrid-N</v>
      </c>
      <c r="C25" s="220" t="s">
        <v>1292</v>
      </c>
      <c r="D25" s="711" t="str">
        <f t="shared" si="8"/>
        <v>PassPriv</v>
      </c>
      <c r="E25" s="220" t="s">
        <v>137</v>
      </c>
      <c r="F25" s="220" t="s">
        <v>1118</v>
      </c>
      <c r="G25" s="220" t="s">
        <v>1114</v>
      </c>
      <c r="H25" s="220" t="s">
        <v>1219</v>
      </c>
      <c r="I25" s="656">
        <v>476000</v>
      </c>
      <c r="J25" s="656">
        <f>I25/IF(I25&lt;$J$10,_xlfn.FORECAST.LINEAR(I25,$I$9:$I$10,$J$9:$J$10),1.3)</f>
        <v>431427.95329535252</v>
      </c>
      <c r="K25" s="656">
        <f t="shared" si="0"/>
        <v>383824.69519934064</v>
      </c>
      <c r="L25" s="220" t="s">
        <v>1188</v>
      </c>
      <c r="M25" s="220" t="s">
        <v>1190</v>
      </c>
      <c r="N25" s="679" cm="1">
        <f t="array" ref="N25">IFERROR($K25*INDEX(N$2:N$9,MATCH(1,($L$2:$L$9=$D25)*($M$2:$M$9=$H25),0)),"")</f>
        <v>411886.59587750823</v>
      </c>
      <c r="O25" s="679" cm="1">
        <f t="array" ref="O25">IFERROR($K25*INDEX(O$2:O$9,MATCH(1,($L$2:$L$9=$D25)*($M$2:$M$9=$H25),0)),"")</f>
        <v>383824.69519934064</v>
      </c>
      <c r="P25" s="679" cm="1">
        <f t="array" ref="P25">IFERROR($K25*INDEX(P$2:P$9,MATCH(1,($L$2:$L$9=$D25)*($M$2:$M$9=$H25),0)),"")</f>
        <v>379143.90623349609</v>
      </c>
      <c r="Q25" s="679" cm="1">
        <f t="array" ref="Q25">IFERROR($K25*INDEX(Q$2:Q$9,MATCH(1,($L$2:$L$9=$D25)*($M$2:$M$9=$H25),0)),"")</f>
        <v>355739.9614042677</v>
      </c>
      <c r="R25" s="679" cm="1">
        <f t="array" ref="R25">IFERROR($K25*INDEX(R$2:R$9,MATCH(1,($L$2:$L$9=$D25)*($M$2:$M$9=$H25),0)),"")</f>
        <v>356325.06002499821</v>
      </c>
      <c r="S25" s="679" cm="1">
        <f t="array" ref="S25">IFERROR($K25*INDEX(S$2:S$9,MATCH(1,($L$2:$L$9=$D25)*($M$2:$M$9=$H25),0)),"")</f>
        <v>356910.15864572895</v>
      </c>
      <c r="T25" s="679" cm="1">
        <f t="array" ref="T25">IFERROR($K25*INDEX(T$2:T$9,MATCH(1,($L$2:$L$9=$D25)*($M$2:$M$9=$H25),0)),"")</f>
        <v>357495.25726645964</v>
      </c>
      <c r="U25" s="680">
        <f t="shared" si="9"/>
        <v>2.7E-2</v>
      </c>
      <c r="V25" s="719">
        <f t="shared" si="10"/>
        <v>11120.938088692721</v>
      </c>
      <c r="W25" s="719">
        <f t="shared" si="1"/>
        <v>10363.266770382197</v>
      </c>
      <c r="X25" s="719">
        <f t="shared" si="2"/>
        <v>10236.885468304394</v>
      </c>
      <c r="Y25" s="719">
        <f t="shared" si="3"/>
        <v>9604.9789579152275</v>
      </c>
      <c r="Z25" s="719">
        <f t="shared" si="4"/>
        <v>9620.7766206749511</v>
      </c>
      <c r="AA25" s="719">
        <f t="shared" si="5"/>
        <v>9636.574283434682</v>
      </c>
      <c r="AB25" s="719">
        <f t="shared" si="6"/>
        <v>9652.3719461944092</v>
      </c>
      <c r="AC25" s="681" t="str">
        <f t="shared" si="7"/>
        <v>TPPRCAROGSH-N</v>
      </c>
    </row>
    <row r="26" spans="1:29" x14ac:dyDescent="0.25">
      <c r="A26" s="227" t="s">
        <v>1329</v>
      </c>
      <c r="B26" s="220" t="str">
        <f>VLOOKUP($A26,ITEMS_Tech_N!$D$6:$E$122,2,FALSE)</f>
        <v>Transport Passenger Car Priv.Veh. Oil Gasoline Plug-in Hybrid-N</v>
      </c>
      <c r="C26" s="220" t="s">
        <v>1292</v>
      </c>
      <c r="D26" s="711" t="str">
        <f t="shared" si="8"/>
        <v>PassPriv</v>
      </c>
      <c r="E26" s="220" t="s">
        <v>137</v>
      </c>
      <c r="F26" s="220" t="s">
        <v>1110</v>
      </c>
      <c r="G26" s="220" t="s">
        <v>1141</v>
      </c>
      <c r="H26" s="220" t="s">
        <v>1219</v>
      </c>
      <c r="I26" s="656"/>
      <c r="J26" s="656"/>
      <c r="K26" s="733">
        <f>K17/K16*K25</f>
        <v>553784.63271553826</v>
      </c>
      <c r="L26" s="734" t="s">
        <v>1241</v>
      </c>
      <c r="M26" s="734" t="s">
        <v>1333</v>
      </c>
      <c r="N26" s="679" cm="1">
        <f t="array" ref="N26">IFERROR($K26*INDEX(N$2:N$9,MATCH(1,($L$2:$L$9=$D26)*($M$2:$M$9=$H26),0)),"")</f>
        <v>594272.51573798968</v>
      </c>
      <c r="O26" s="679" cm="1">
        <f t="array" ref="O26">IFERROR($K26*INDEX(O$2:O$9,MATCH(1,($L$2:$L$9=$D26)*($M$2:$M$9=$H26),0)),"")</f>
        <v>553784.63271553826</v>
      </c>
      <c r="P26" s="679" cm="1">
        <f t="array" ref="P26">IFERROR($K26*INDEX(P$2:P$9,MATCH(1,($L$2:$L$9=$D26)*($M$2:$M$9=$H26),0)),"")</f>
        <v>547031.16158486251</v>
      </c>
      <c r="Q26" s="679" cm="1">
        <f t="array" ref="Q26">IFERROR($K26*INDEX(Q$2:Q$9,MATCH(1,($L$2:$L$9=$D26)*($M$2:$M$9=$H26),0)),"")</f>
        <v>513263.80593147554</v>
      </c>
      <c r="R26" s="679" cm="1">
        <f t="array" ref="R26">IFERROR($K26*INDEX(R$2:R$9,MATCH(1,($L$2:$L$9=$D26)*($M$2:$M$9=$H26),0)),"")</f>
        <v>514107.98982280999</v>
      </c>
      <c r="S26" s="679" cm="1">
        <f t="array" ref="S26">IFERROR($K26*INDEX(S$2:S$9,MATCH(1,($L$2:$L$9=$D26)*($M$2:$M$9=$H26),0)),"")</f>
        <v>514952.17371414468</v>
      </c>
      <c r="T26" s="679" cm="1">
        <f t="array" ref="T26">IFERROR($K26*INDEX(T$2:T$9,MATCH(1,($L$2:$L$9=$D26)*($M$2:$M$9=$H26),0)),"")</f>
        <v>515796.35760547931</v>
      </c>
      <c r="U26" s="680">
        <f t="shared" si="9"/>
        <v>2.7E-2</v>
      </c>
      <c r="V26" s="719">
        <f t="shared" si="10"/>
        <v>16045.357924925722</v>
      </c>
      <c r="W26" s="719">
        <f t="shared" si="1"/>
        <v>14952.185083319533</v>
      </c>
      <c r="X26" s="719">
        <f t="shared" si="2"/>
        <v>14769.841362791287</v>
      </c>
      <c r="Y26" s="719">
        <f t="shared" si="3"/>
        <v>13858.122760149839</v>
      </c>
      <c r="Z26" s="719">
        <f t="shared" si="4"/>
        <v>13880.915725215869</v>
      </c>
      <c r="AA26" s="719">
        <f t="shared" si="5"/>
        <v>13903.708690281906</v>
      </c>
      <c r="AB26" s="719">
        <f t="shared" si="6"/>
        <v>13926.501655347942</v>
      </c>
      <c r="AC26" s="681" t="str">
        <f t="shared" si="7"/>
        <v>TPPRCAROGSP-N</v>
      </c>
    </row>
    <row r="27" spans="1:29" x14ac:dyDescent="0.25">
      <c r="A27" s="227" t="s">
        <v>946</v>
      </c>
      <c r="B27" s="220" t="str">
        <f>VLOOKUP($A27,ITEMS_Tech_N!$D$6:$E$122,2,FALSE)</f>
        <v>Transport Passenger Car Priv.Veh. Electricity-N</v>
      </c>
      <c r="C27" s="220" t="s">
        <v>1292</v>
      </c>
      <c r="D27" s="711" t="str">
        <f t="shared" si="8"/>
        <v>PassPriv</v>
      </c>
      <c r="E27" s="220" t="s">
        <v>137</v>
      </c>
      <c r="F27" s="220" t="s">
        <v>1118</v>
      </c>
      <c r="G27" s="220" t="s">
        <v>1117</v>
      </c>
      <c r="H27" s="220" t="s">
        <v>1117</v>
      </c>
      <c r="I27" s="658">
        <f>I23*1.6</f>
        <v>560000</v>
      </c>
      <c r="J27" s="658">
        <f>I27/IF(I27&lt;$J$10,_xlfn.FORECAST.LINEAR(I27,$I$9:$I$10,$J$9:$J$10),1.3)</f>
        <v>498502.94581629691</v>
      </c>
      <c r="K27" s="656">
        <f t="shared" si="0"/>
        <v>443498.71113456832</v>
      </c>
      <c r="L27" s="659" t="s">
        <v>1241</v>
      </c>
      <c r="M27" s="659" t="s">
        <v>1262</v>
      </c>
      <c r="N27" s="679" cm="1">
        <f t="array" ref="N27">IFERROR($K27*INDEX(N$2:N$9,MATCH(1,($L$2:$L$9=$D27)*($M$2:$M$9=$H27),0)),"")</f>
        <v>490934.7846193263</v>
      </c>
      <c r="O27" s="679" cm="1">
        <f t="array" ref="O27">IFERROR($K27*INDEX(O$2:O$9,MATCH(1,($L$2:$L$9=$D27)*($M$2:$M$9=$H27),0)),"")</f>
        <v>443498.71113456832</v>
      </c>
      <c r="P27" s="679" cm="1">
        <f t="array" ref="P27">IFERROR($K27*INDEX(P$2:P$9,MATCH(1,($L$2:$L$9=$D27)*($M$2:$M$9=$H27),0)),"")</f>
        <v>430925.29406632157</v>
      </c>
      <c r="Q27" s="679" cm="1">
        <f t="array" ref="Q27">IFERROR($K27*INDEX(Q$2:Q$9,MATCH(1,($L$2:$L$9=$D27)*($M$2:$M$9=$H27),0)),"")</f>
        <v>368058.20872508123</v>
      </c>
      <c r="R27" s="679" cm="1">
        <f t="array" ref="R27">IFERROR($K27*INDEX(R$2:R$9,MATCH(1,($L$2:$L$9=$D27)*($M$2:$M$9=$H27),0)),"")</f>
        <v>356627.82957212965</v>
      </c>
      <c r="S27" s="679" cm="1">
        <f t="array" ref="S27">IFERROR($K27*INDEX(S$2:S$9,MATCH(1,($L$2:$L$9=$D27)*($M$2:$M$9=$H27),0)),"")</f>
        <v>345197.45041917713</v>
      </c>
      <c r="T27" s="679" cm="1">
        <f t="array" ref="T27">IFERROR($K27*INDEX(T$2:T$9,MATCH(1,($L$2:$L$9=$D27)*($M$2:$M$9=$H27),0)),"")</f>
        <v>333767.07126622467</v>
      </c>
      <c r="U27" s="680">
        <f t="shared" si="9"/>
        <v>1.9E-2</v>
      </c>
      <c r="V27" s="719">
        <f t="shared" si="10"/>
        <v>9327.7609077671987</v>
      </c>
      <c r="W27" s="719">
        <f t="shared" si="1"/>
        <v>8426.4755115567987</v>
      </c>
      <c r="X27" s="719">
        <f t="shared" si="2"/>
        <v>8187.5805872601095</v>
      </c>
      <c r="Y27" s="719">
        <f t="shared" si="3"/>
        <v>6993.1059657765436</v>
      </c>
      <c r="Z27" s="719">
        <f t="shared" si="4"/>
        <v>6775.9287618704629</v>
      </c>
      <c r="AA27" s="719">
        <f t="shared" si="5"/>
        <v>6558.751557964365</v>
      </c>
      <c r="AB27" s="719">
        <f t="shared" si="6"/>
        <v>6341.5743540582689</v>
      </c>
      <c r="AC27" s="681" t="str">
        <f t="shared" si="7"/>
        <v>TPPRCARELC-N</v>
      </c>
    </row>
    <row r="28" spans="1:29" x14ac:dyDescent="0.25">
      <c r="A28" s="227" t="s">
        <v>948</v>
      </c>
      <c r="B28" s="220" t="e">
        <f>VLOOKUP($A28,ITEMS_Tech_N!$D$6:$E$122,2,FALSE)</f>
        <v>#N/A</v>
      </c>
      <c r="C28" s="220" t="s">
        <v>1292</v>
      </c>
      <c r="D28" s="711" t="str">
        <f t="shared" si="8"/>
        <v>PassPriv</v>
      </c>
      <c r="E28" s="220" t="s">
        <v>137</v>
      </c>
      <c r="F28" s="220" t="s">
        <v>1118</v>
      </c>
      <c r="G28" s="220" t="s">
        <v>1115</v>
      </c>
      <c r="H28" s="220" t="s">
        <v>326</v>
      </c>
      <c r="I28" s="656"/>
      <c r="J28" s="661" t="s">
        <v>504</v>
      </c>
      <c r="K28" s="656" t="str">
        <f t="shared" si="0"/>
        <v/>
      </c>
      <c r="L28" s="220"/>
      <c r="M28" s="220"/>
      <c r="N28" s="679" t="str" cm="1">
        <f t="array" ref="N28">IFERROR($K28*INDEX(N$2:N$9,MATCH(1,($L$2:$L$9=$D28)*($M$2:$M$9=$H28),0)),"")</f>
        <v/>
      </c>
      <c r="O28" s="679" t="str" cm="1">
        <f t="array" ref="O28">IFERROR($K28*INDEX(O$2:O$9,MATCH(1,($L$2:$L$9=$D28)*($M$2:$M$9=$H28),0)),"")</f>
        <v/>
      </c>
      <c r="P28" s="679" t="str" cm="1">
        <f t="array" ref="P28">IFERROR($K28*INDEX(P$2:P$9,MATCH(1,($L$2:$L$9=$D28)*($M$2:$M$9=$H28),0)),"")</f>
        <v/>
      </c>
      <c r="Q28" s="679" t="str" cm="1">
        <f t="array" ref="Q28">IFERROR($K28*INDEX(Q$2:Q$9,MATCH(1,($L$2:$L$9=$D28)*($M$2:$M$9=$H28),0)),"")</f>
        <v/>
      </c>
      <c r="R28" s="679" t="str" cm="1">
        <f t="array" ref="R28">IFERROR($K28*INDEX(R$2:R$9,MATCH(1,($L$2:$L$9=$D28)*($M$2:$M$9=$H28),0)),"")</f>
        <v/>
      </c>
      <c r="S28" s="679" t="str" cm="1">
        <f t="array" ref="S28">IFERROR($K28*INDEX(S$2:S$9,MATCH(1,($L$2:$L$9=$D28)*($M$2:$M$9=$H28),0)),"")</f>
        <v/>
      </c>
      <c r="T28" s="679" t="str" cm="1">
        <f t="array" ref="T28">IFERROR($K28*INDEX(T$2:T$9,MATCH(1,($L$2:$L$9=$D28)*($M$2:$M$9=$H28),0)),"")</f>
        <v/>
      </c>
      <c r="U28" s="680">
        <f t="shared" si="9"/>
        <v>2.7E-2</v>
      </c>
      <c r="V28" s="719" t="str">
        <f t="shared" si="10"/>
        <v/>
      </c>
      <c r="W28" s="719" t="str">
        <f t="shared" si="1"/>
        <v/>
      </c>
      <c r="X28" s="719" t="str">
        <f t="shared" si="2"/>
        <v/>
      </c>
      <c r="Y28" s="719" t="str">
        <f t="shared" si="3"/>
        <v/>
      </c>
      <c r="Z28" s="719" t="str">
        <f t="shared" si="4"/>
        <v/>
      </c>
      <c r="AA28" s="719" t="str">
        <f t="shared" si="5"/>
        <v/>
      </c>
      <c r="AB28" s="719" t="str">
        <f t="shared" si="6"/>
        <v/>
      </c>
      <c r="AC28" s="681" t="str">
        <f t="shared" si="7"/>
        <v>TPPRCARGAS-N</v>
      </c>
    </row>
    <row r="29" spans="1:29" x14ac:dyDescent="0.25">
      <c r="A29" s="227" t="s">
        <v>950</v>
      </c>
      <c r="B29" s="220" t="str">
        <f>VLOOKUP($A29,ITEMS_Tech_N!$D$6:$E$122,2,FALSE)</f>
        <v>Transport Passenger Car Priv.Veh. Hydrogen Fuel Cell-N</v>
      </c>
      <c r="C29" s="220" t="s">
        <v>1292</v>
      </c>
      <c r="D29" s="711" t="str">
        <f t="shared" si="8"/>
        <v>PassPriv</v>
      </c>
      <c r="E29" s="220" t="s">
        <v>137</v>
      </c>
      <c r="F29" s="220" t="s">
        <v>1118</v>
      </c>
      <c r="G29" s="220" t="s">
        <v>1116</v>
      </c>
      <c r="H29" s="220" t="s">
        <v>1116</v>
      </c>
      <c r="I29" s="656">
        <f>58000*18</f>
        <v>1044000</v>
      </c>
      <c r="J29" s="656">
        <f>I29</f>
        <v>1044000</v>
      </c>
      <c r="K29" s="656">
        <f t="shared" si="0"/>
        <v>928806.25543006102</v>
      </c>
      <c r="L29" s="220" t="s">
        <v>1194</v>
      </c>
      <c r="M29" s="220" t="s">
        <v>1195</v>
      </c>
      <c r="N29" s="679" cm="1">
        <f t="array" ref="N29">IFERROR($K29*INDEX(N$2:N$9,MATCH(1,($L$2:$L$9=$D29)*($M$2:$M$9=$H29),0)),"")</f>
        <v>1120031.0727244944</v>
      </c>
      <c r="O29" s="679" cm="1">
        <f t="array" ref="O29">IFERROR($K29*INDEX(O$2:O$9,MATCH(1,($L$2:$L$9=$D29)*($M$2:$M$9=$H29),0)),"")</f>
        <v>928806.25543006102</v>
      </c>
      <c r="P29" s="679" cm="1">
        <f t="array" ref="P29">IFERROR($K29*INDEX(P$2:P$9,MATCH(1,($L$2:$L$9=$D29)*($M$2:$M$9=$H29),0)),"")</f>
        <v>874170.59334595199</v>
      </c>
      <c r="Q29" s="679" cm="1">
        <f t="array" ref="Q29">IFERROR($K29*INDEX(Q$2:Q$9,MATCH(1,($L$2:$L$9=$D29)*($M$2:$M$9=$H29),0)),"")</f>
        <v>600992.28292533278</v>
      </c>
      <c r="R29" s="679" cm="1">
        <f t="array" ref="R29">IFERROR($K29*INDEX(R$2:R$9,MATCH(1,($L$2:$L$9=$D29)*($M$2:$M$9=$H29),0)),"")</f>
        <v>546356.62084122363</v>
      </c>
      <c r="S29" s="679" cm="1">
        <f t="array" ref="S29">IFERROR($K29*INDEX(S$2:S$9,MATCH(1,($L$2:$L$9=$D29)*($M$2:$M$9=$H29),0)),"")</f>
        <v>491720.95875709981</v>
      </c>
      <c r="T29" s="679" cm="1">
        <f t="array" ref="T29">IFERROR($K29*INDEX(T$2:T$9,MATCH(1,($L$2:$L$9=$D29)*($M$2:$M$9=$H29),0)),"")</f>
        <v>437085.29667297599</v>
      </c>
      <c r="U29" s="680">
        <f t="shared" si="9"/>
        <v>2.7E-2</v>
      </c>
      <c r="V29" s="719">
        <f t="shared" si="10"/>
        <v>30240.838963561349</v>
      </c>
      <c r="W29" s="719">
        <f t="shared" si="1"/>
        <v>25077.768896611648</v>
      </c>
      <c r="X29" s="719">
        <f t="shared" si="2"/>
        <v>23602.606020340703</v>
      </c>
      <c r="Y29" s="719">
        <f t="shared" si="3"/>
        <v>16226.791638983985</v>
      </c>
      <c r="Z29" s="719">
        <f t="shared" si="4"/>
        <v>14751.628762713039</v>
      </c>
      <c r="AA29" s="719">
        <f t="shared" si="5"/>
        <v>13276.465886441694</v>
      </c>
      <c r="AB29" s="719">
        <f t="shared" si="6"/>
        <v>11801.303010170352</v>
      </c>
      <c r="AC29" s="681" t="str">
        <f t="shared" si="7"/>
        <v>TPPRCARHGNF-N</v>
      </c>
    </row>
    <row r="30" spans="1:29" x14ac:dyDescent="0.25">
      <c r="A30" s="227" t="s">
        <v>952</v>
      </c>
      <c r="B30" s="220" t="e">
        <f>VLOOKUP($A30,ITEMS_Tech_N!$D$6:$E$122,2,FALSE)</f>
        <v>#N/A</v>
      </c>
      <c r="C30" s="220" t="s">
        <v>1292</v>
      </c>
      <c r="D30" s="711" t="str">
        <f t="shared" si="8"/>
        <v>PassPriv</v>
      </c>
      <c r="E30" s="220" t="s">
        <v>137</v>
      </c>
      <c r="F30" s="220" t="s">
        <v>1118</v>
      </c>
      <c r="G30" s="642" t="s">
        <v>1112</v>
      </c>
      <c r="H30" s="220" t="s">
        <v>326</v>
      </c>
      <c r="I30" s="656"/>
      <c r="J30" s="658">
        <f>J23</f>
        <v>326116.25947767479</v>
      </c>
      <c r="K30" s="656">
        <f t="shared" si="0"/>
        <v>290132.97107310081</v>
      </c>
      <c r="L30" s="659" t="s">
        <v>1199</v>
      </c>
      <c r="M30" s="659" t="s">
        <v>1205</v>
      </c>
      <c r="N30" s="679" cm="1">
        <f t="array" ref="N30">IFERROR($K30*INDEX(N$2:N$9,MATCH(1,($L$2:$L$9=$D30)*($M$2:$M$9=$H30),0)),"")</f>
        <v>286400.9485118576</v>
      </c>
      <c r="O30" s="679" cm="1">
        <f t="array" ref="O30">IFERROR($K30*INDEX(O$2:O$9,MATCH(1,($L$2:$L$9=$D30)*($M$2:$M$9=$H30),0)),"")</f>
        <v>291065.97671341163</v>
      </c>
      <c r="P30" s="679" cm="1">
        <f t="array" ref="P30">IFERROR($K30*INDEX(P$2:P$9,MATCH(1,($L$2:$L$9=$D30)*($M$2:$M$9=$H30),0)),"")</f>
        <v>295731.00491496577</v>
      </c>
      <c r="Q30" s="679" cm="1">
        <f t="array" ref="Q30">IFERROR($K30*INDEX(Q$2:Q$9,MATCH(1,($L$2:$L$9=$D30)*($M$2:$M$9=$H30),0)),"")</f>
        <v>298978.19494479592</v>
      </c>
      <c r="R30" s="679" cm="1">
        <f t="array" ref="R30">IFERROR($K30*INDEX(R$2:R$9,MATCH(1,($L$2:$L$9=$D30)*($M$2:$M$9=$H30),0)),"")</f>
        <v>302225.38497462607</v>
      </c>
      <c r="S30" s="679" cm="1">
        <f t="array" ref="S30">IFERROR($K30*INDEX(S$2:S$9,MATCH(1,($L$2:$L$9=$D30)*($M$2:$M$9=$H30),0)),"")</f>
        <v>304097.13306087593</v>
      </c>
      <c r="T30" s="679" cm="1">
        <f t="array" ref="T30">IFERROR($K30*INDEX(T$2:T$9,MATCH(1,($L$2:$L$9=$D30)*($M$2:$M$9=$H30),0)),"")</f>
        <v>305968.88114712597</v>
      </c>
      <c r="U30" s="680">
        <f t="shared" si="9"/>
        <v>2.7E-2</v>
      </c>
      <c r="V30" s="719">
        <f t="shared" si="10"/>
        <v>7732.8256098201555</v>
      </c>
      <c r="W30" s="719">
        <f t="shared" si="1"/>
        <v>7858.7813712621137</v>
      </c>
      <c r="X30" s="719">
        <f t="shared" si="2"/>
        <v>7984.7371327040755</v>
      </c>
      <c r="Y30" s="719">
        <f t="shared" si="3"/>
        <v>8072.4112635094898</v>
      </c>
      <c r="Z30" s="719">
        <f t="shared" si="4"/>
        <v>8160.0853943149041</v>
      </c>
      <c r="AA30" s="719">
        <f t="shared" si="5"/>
        <v>8210.6225926436509</v>
      </c>
      <c r="AB30" s="719">
        <f t="shared" si="6"/>
        <v>8261.1597909724005</v>
      </c>
      <c r="AC30" s="681" t="str">
        <f t="shared" si="7"/>
        <v>TPPRCARBGS-N</v>
      </c>
    </row>
    <row r="31" spans="1:29" x14ac:dyDescent="0.25">
      <c r="A31" s="227" t="s">
        <v>392</v>
      </c>
      <c r="B31" s="220" t="str">
        <f>VLOOKUP($A31,ITEMS_Tech_N!$D$6:$E$122,2,FALSE)</f>
        <v>Transport Passenger Moto Priv.Veh. Oil Gasoline-N</v>
      </c>
      <c r="C31" s="220" t="s">
        <v>1292</v>
      </c>
      <c r="D31" s="711" t="str">
        <f t="shared" si="8"/>
        <v>PassPriv</v>
      </c>
      <c r="E31" s="220" t="s">
        <v>609</v>
      </c>
      <c r="F31" s="220" t="s">
        <v>1119</v>
      </c>
      <c r="G31" s="220" t="s">
        <v>1112</v>
      </c>
      <c r="H31" s="220" t="s">
        <v>326</v>
      </c>
      <c r="I31" s="656">
        <v>17000</v>
      </c>
      <c r="J31" s="656">
        <f>I31</f>
        <v>17000</v>
      </c>
      <c r="K31" s="656">
        <f t="shared" si="0"/>
        <v>15124.239791485668</v>
      </c>
      <c r="L31" s="220" t="s">
        <v>1191</v>
      </c>
      <c r="M31" s="220"/>
      <c r="N31" s="679" cm="1">
        <f t="array" ref="N31">IFERROR($K31*INDEX(N$2:N$9,MATCH(1,($L$2:$L$9=$D31)*($M$2:$M$9=$H31),0)),"")</f>
        <v>14929.694497599523</v>
      </c>
      <c r="O31" s="679" cm="1">
        <f t="array" ref="O31">IFERROR($K31*INDEX(O$2:O$9,MATCH(1,($L$2:$L$9=$D31)*($M$2:$M$9=$H31),0)),"")</f>
        <v>15172.876114957206</v>
      </c>
      <c r="P31" s="679" cm="1">
        <f t="array" ref="P31">IFERROR($K31*INDEX(P$2:P$9,MATCH(1,($L$2:$L$9=$D31)*($M$2:$M$9=$H31),0)),"")</f>
        <v>15416.057732314894</v>
      </c>
      <c r="Q31" s="679" cm="1">
        <f t="array" ref="Q31">IFERROR($K31*INDEX(Q$2:Q$9,MATCH(1,($L$2:$L$9=$D31)*($M$2:$M$9=$H31),0)),"")</f>
        <v>15585.32936138217</v>
      </c>
      <c r="R31" s="679" cm="1">
        <f t="array" ref="R31">IFERROR($K31*INDEX(R$2:R$9,MATCH(1,($L$2:$L$9=$D31)*($M$2:$M$9=$H31),0)),"")</f>
        <v>15754.600990449444</v>
      </c>
      <c r="S31" s="679" cm="1">
        <f t="array" ref="S31">IFERROR($K31*INDEX(S$2:S$9,MATCH(1,($L$2:$L$9=$D31)*($M$2:$M$9=$H31),0)),"")</f>
        <v>15852.172689319083</v>
      </c>
      <c r="T31" s="679" cm="1">
        <f t="array" ref="T31">IFERROR($K31*INDEX(T$2:T$9,MATCH(1,($L$2:$L$9=$D31)*($M$2:$M$9=$H31),0)),"")</f>
        <v>15949.744388188727</v>
      </c>
      <c r="U31" s="680">
        <f t="shared" si="9"/>
        <v>2.7E-2</v>
      </c>
      <c r="V31" s="719">
        <f t="shared" si="10"/>
        <v>403.10175143518711</v>
      </c>
      <c r="W31" s="719">
        <f t="shared" si="1"/>
        <v>409.66765510384454</v>
      </c>
      <c r="X31" s="719">
        <f t="shared" si="2"/>
        <v>416.23355877250214</v>
      </c>
      <c r="Y31" s="719">
        <f t="shared" si="3"/>
        <v>420.80389275731858</v>
      </c>
      <c r="Z31" s="719">
        <f t="shared" si="4"/>
        <v>425.37422674213497</v>
      </c>
      <c r="AA31" s="719">
        <f t="shared" si="5"/>
        <v>428.00866261161525</v>
      </c>
      <c r="AB31" s="719">
        <f t="shared" si="6"/>
        <v>430.64309848109559</v>
      </c>
      <c r="AC31" s="681" t="str">
        <f t="shared" si="7"/>
        <v>TPPRMOTOGS-N</v>
      </c>
    </row>
    <row r="32" spans="1:29" x14ac:dyDescent="0.25">
      <c r="A32" s="227" t="s">
        <v>955</v>
      </c>
      <c r="B32" s="220" t="str">
        <f>VLOOKUP($A32,ITEMS_Tech_N!$D$6:$E$122,2,FALSE)</f>
        <v>Transport Passenger Moto Priv.Veh. Electricity-N</v>
      </c>
      <c r="C32" s="220" t="s">
        <v>1292</v>
      </c>
      <c r="D32" s="711" t="str">
        <f t="shared" si="8"/>
        <v>PassPriv</v>
      </c>
      <c r="E32" s="220" t="s">
        <v>609</v>
      </c>
      <c r="F32" s="220" t="s">
        <v>1119</v>
      </c>
      <c r="G32" s="220" t="s">
        <v>1117</v>
      </c>
      <c r="H32" s="220" t="s">
        <v>1117</v>
      </c>
      <c r="I32" s="656">
        <v>45000</v>
      </c>
      <c r="J32" s="656">
        <f>I32</f>
        <v>45000</v>
      </c>
      <c r="K32" s="656">
        <f t="shared" si="0"/>
        <v>40034.752389226764</v>
      </c>
      <c r="L32" s="220" t="s">
        <v>1343</v>
      </c>
      <c r="M32" s="220" t="s">
        <v>1344</v>
      </c>
      <c r="N32" s="679" cm="1">
        <f t="array" ref="N32">IFERROR($K32*INDEX(N$2:N$9,MATCH(1,($L$2:$L$9=$D32)*($M$2:$M$9=$H32),0)),"")</f>
        <v>44316.819977250081</v>
      </c>
      <c r="O32" s="679" cm="1">
        <f t="array" ref="O32">IFERROR($K32*INDEX(O$2:O$9,MATCH(1,($L$2:$L$9=$D32)*($M$2:$M$9=$H32),0)),"")</f>
        <v>40034.752389226764</v>
      </c>
      <c r="P32" s="679" cm="1">
        <f t="array" ref="P32">IFERROR($K32*INDEX(P$2:P$9,MATCH(1,($L$2:$L$9=$D32)*($M$2:$M$9=$H32),0)),"")</f>
        <v>38899.746522522</v>
      </c>
      <c r="Q32" s="679" cm="1">
        <f t="array" ref="Q32">IFERROR($K32*INDEX(Q$2:Q$9,MATCH(1,($L$2:$L$9=$D32)*($M$2:$M$9=$H32),0)),"")</f>
        <v>33224.717188997594</v>
      </c>
      <c r="R32" s="679" cm="1">
        <f t="array" ref="R32">IFERROR($K32*INDEX(R$2:R$9,MATCH(1,($L$2:$L$9=$D32)*($M$2:$M$9=$H32),0)),"")</f>
        <v>32192.893673811439</v>
      </c>
      <c r="S32" s="679" cm="1">
        <f t="array" ref="S32">IFERROR($K32*INDEX(S$2:S$9,MATCH(1,($L$2:$L$9=$D32)*($M$2:$M$9=$H32),0)),"")</f>
        <v>31161.070158625211</v>
      </c>
      <c r="T32" s="679" cm="1">
        <f t="array" ref="T32">IFERROR($K32*INDEX(T$2:T$9,MATCH(1,($L$2:$L$9=$D32)*($M$2:$M$9=$H32),0)),"")</f>
        <v>30129.246643438983</v>
      </c>
      <c r="U32" s="680">
        <f t="shared" si="9"/>
        <v>1.9E-2</v>
      </c>
      <c r="V32" s="719">
        <f t="shared" si="10"/>
        <v>842.01957956775152</v>
      </c>
      <c r="W32" s="719">
        <f t="shared" si="1"/>
        <v>760.66029539530848</v>
      </c>
      <c r="X32" s="719">
        <f t="shared" si="2"/>
        <v>739.09518392791801</v>
      </c>
      <c r="Y32" s="719">
        <f t="shared" si="3"/>
        <v>631.26962659095432</v>
      </c>
      <c r="Z32" s="719">
        <f t="shared" si="4"/>
        <v>611.66497980241729</v>
      </c>
      <c r="AA32" s="719">
        <f t="shared" si="5"/>
        <v>592.06033301387902</v>
      </c>
      <c r="AB32" s="719">
        <f t="shared" si="6"/>
        <v>572.45568622534063</v>
      </c>
      <c r="AC32" s="681" t="str">
        <f t="shared" si="7"/>
        <v>TPPRMOTELC-N</v>
      </c>
    </row>
    <row r="33" spans="1:29" x14ac:dyDescent="0.25">
      <c r="A33" s="227" t="s">
        <v>957</v>
      </c>
      <c r="B33" s="220" t="str">
        <f>VLOOKUP($A33,ITEMS_Tech_N!$D$6:$E$122,2,FALSE)</f>
        <v>Transport Passenger Bus Oil Diesel-N</v>
      </c>
      <c r="C33" s="220" t="s">
        <v>1293</v>
      </c>
      <c r="D33" s="711" t="str">
        <f t="shared" si="8"/>
        <v>Other</v>
      </c>
      <c r="E33" s="220" t="s">
        <v>139</v>
      </c>
      <c r="F33" s="220" t="s">
        <v>139</v>
      </c>
      <c r="G33" s="220" t="s">
        <v>1111</v>
      </c>
      <c r="H33" s="220" t="s">
        <v>326</v>
      </c>
      <c r="I33" s="656">
        <f>2700000*0.85</f>
        <v>2295000</v>
      </c>
      <c r="J33" s="656">
        <f>I33</f>
        <v>2295000</v>
      </c>
      <c r="K33" s="656">
        <f t="shared" si="0"/>
        <v>2041772.3718505651</v>
      </c>
      <c r="L33" s="220" t="s">
        <v>1191</v>
      </c>
      <c r="M33" s="220"/>
      <c r="N33" s="657" cm="1">
        <f t="array" ref="N33">IFERROR($K33*INDEX(N$2:N$9,MATCH(1,($L$2:$L$9=$D33)*($M$2:$M$9=$H33),0)),"")</f>
        <v>1999968.6663604942</v>
      </c>
      <c r="O33" s="657" cm="1">
        <f t="array" ref="O33">IFERROR($K33*INDEX(O$2:O$9,MATCH(1,($L$2:$L$9=$D33)*($M$2:$M$9=$H33),0)),"")</f>
        <v>2044655.810912492</v>
      </c>
      <c r="P33" s="657" cm="1">
        <f t="array" ref="P33">IFERROR($K33*INDEX(P$2:P$9,MATCH(1,($L$2:$L$9=$D33)*($M$2:$M$9=$H33),0)),"")</f>
        <v>2059073.0062221282</v>
      </c>
      <c r="Q33" s="657" cm="1">
        <f t="array" ref="Q33">IFERROR($K33*INDEX(Q$2:Q$9,MATCH(1,($L$2:$L$9=$D33)*($M$2:$M$9=$H33),0)),"")</f>
        <v>2070490.4300845908</v>
      </c>
      <c r="R33" s="657" cm="1">
        <f t="array" ref="R33">IFERROR($K33*INDEX(R$2:R$9,MATCH(1,($L$2:$L$9=$D33)*($M$2:$M$9=$H33),0)),"")</f>
        <v>2081907.8539470532</v>
      </c>
      <c r="S33" s="657" cm="1">
        <f t="array" ref="S33">IFERROR($K33*INDEX(S$2:S$9,MATCH(1,($L$2:$L$9=$D33)*($M$2:$M$9=$H33),0)),"")</f>
        <v>2086644.0549279742</v>
      </c>
      <c r="T33" s="657" cm="1">
        <f t="array" ref="T33">IFERROR($K33*INDEX(T$2:T$9,MATCH(1,($L$2:$L$9=$D33)*($M$2:$M$9=$H33),0)),"")</f>
        <v>2091380.2559088953</v>
      </c>
      <c r="U33" s="680">
        <f t="shared" si="9"/>
        <v>2.7E-2</v>
      </c>
      <c r="V33" s="719">
        <f t="shared" si="10"/>
        <v>53999.153991733343</v>
      </c>
      <c r="W33" s="719">
        <f t="shared" si="1"/>
        <v>55205.706894637282</v>
      </c>
      <c r="X33" s="719">
        <f t="shared" si="2"/>
        <v>55594.971167997457</v>
      </c>
      <c r="Y33" s="719">
        <f t="shared" si="3"/>
        <v>55903.24161228395</v>
      </c>
      <c r="Z33" s="719">
        <f t="shared" si="4"/>
        <v>56211.512056570435</v>
      </c>
      <c r="AA33" s="719">
        <f t="shared" si="5"/>
        <v>56339.389483055304</v>
      </c>
      <c r="AB33" s="719">
        <f t="shared" si="6"/>
        <v>56467.266909540172</v>
      </c>
      <c r="AC33" s="681" t="str">
        <f t="shared" si="7"/>
        <v>TPPUBUSODS-N</v>
      </c>
    </row>
    <row r="34" spans="1:29" x14ac:dyDescent="0.25">
      <c r="A34" s="227" t="s">
        <v>959</v>
      </c>
      <c r="B34" s="220" t="e">
        <f>VLOOKUP($A34,ITEMS_Tech_N!$D$6:$E$122,2,FALSE)</f>
        <v>#N/A</v>
      </c>
      <c r="C34" s="220" t="s">
        <v>1293</v>
      </c>
      <c r="D34" s="711" t="str">
        <f t="shared" si="8"/>
        <v>Other</v>
      </c>
      <c r="E34" s="220" t="s">
        <v>139</v>
      </c>
      <c r="F34" s="220" t="s">
        <v>139</v>
      </c>
      <c r="G34" s="220" t="s">
        <v>1115</v>
      </c>
      <c r="H34" s="220" t="s">
        <v>326</v>
      </c>
      <c r="I34" s="656"/>
      <c r="J34" s="661" t="s">
        <v>504</v>
      </c>
      <c r="K34" s="656" t="str">
        <f t="shared" si="0"/>
        <v/>
      </c>
      <c r="L34" s="220"/>
      <c r="M34" s="220"/>
      <c r="N34" s="657" t="str" cm="1">
        <f t="array" ref="N34">IFERROR($K34*INDEX(N$2:N$9,MATCH(1,($L$2:$L$9=$D34)*($M$2:$M$9=$H34),0)),"")</f>
        <v/>
      </c>
      <c r="O34" s="657" t="str" cm="1">
        <f t="array" ref="O34">IFERROR($K34*INDEX(O$2:O$9,MATCH(1,($L$2:$L$9=$D34)*($M$2:$M$9=$H34),0)),"")</f>
        <v/>
      </c>
      <c r="P34" s="657" t="str" cm="1">
        <f t="array" ref="P34">IFERROR($K34*INDEX(P$2:P$9,MATCH(1,($L$2:$L$9=$D34)*($M$2:$M$9=$H34),0)),"")</f>
        <v/>
      </c>
      <c r="Q34" s="657" t="str" cm="1">
        <f t="array" ref="Q34">IFERROR($K34*INDEX(Q$2:Q$9,MATCH(1,($L$2:$L$9=$D34)*($M$2:$M$9=$H34),0)),"")</f>
        <v/>
      </c>
      <c r="R34" s="657" t="str" cm="1">
        <f t="array" ref="R34">IFERROR($K34*INDEX(R$2:R$9,MATCH(1,($L$2:$L$9=$D34)*($M$2:$M$9=$H34),0)),"")</f>
        <v/>
      </c>
      <c r="S34" s="657" t="str" cm="1">
        <f t="array" ref="S34">IFERROR($K34*INDEX(S$2:S$9,MATCH(1,($L$2:$L$9=$D34)*($M$2:$M$9=$H34),0)),"")</f>
        <v/>
      </c>
      <c r="T34" s="657" t="str" cm="1">
        <f t="array" ref="T34">IFERROR($K34*INDEX(T$2:T$9,MATCH(1,($L$2:$L$9=$D34)*($M$2:$M$9=$H34),0)),"")</f>
        <v/>
      </c>
      <c r="U34" s="680">
        <f t="shared" si="9"/>
        <v>2.7E-2</v>
      </c>
      <c r="V34" s="719" t="str">
        <f t="shared" si="10"/>
        <v/>
      </c>
      <c r="W34" s="719" t="str">
        <f t="shared" si="1"/>
        <v/>
      </c>
      <c r="X34" s="719" t="str">
        <f t="shared" si="2"/>
        <v/>
      </c>
      <c r="Y34" s="719" t="str">
        <f t="shared" si="3"/>
        <v/>
      </c>
      <c r="Z34" s="719" t="str">
        <f t="shared" si="4"/>
        <v/>
      </c>
      <c r="AA34" s="719" t="str">
        <f t="shared" si="5"/>
        <v/>
      </c>
      <c r="AB34" s="719" t="str">
        <f t="shared" si="6"/>
        <v/>
      </c>
      <c r="AC34" s="681" t="str">
        <f t="shared" si="7"/>
        <v>TPPUBUSGAS-N</v>
      </c>
    </row>
    <row r="35" spans="1:29" x14ac:dyDescent="0.25">
      <c r="A35" s="227" t="s">
        <v>961</v>
      </c>
      <c r="B35" s="220" t="str">
        <f>VLOOKUP($A35,ITEMS_Tech_N!$D$6:$E$122,2,FALSE)</f>
        <v>Transport Passenger Bus Hydrogen Fuel Cell-N</v>
      </c>
      <c r="C35" s="220" t="s">
        <v>1293</v>
      </c>
      <c r="D35" s="711" t="str">
        <f t="shared" si="8"/>
        <v>Other</v>
      </c>
      <c r="E35" s="220" t="s">
        <v>139</v>
      </c>
      <c r="F35" s="220" t="s">
        <v>139</v>
      </c>
      <c r="G35" s="220" t="s">
        <v>1116</v>
      </c>
      <c r="H35" s="220" t="s">
        <v>1116</v>
      </c>
      <c r="I35" s="656"/>
      <c r="J35" s="658">
        <f>J37*J29/J27</f>
        <v>8552047.1808706578</v>
      </c>
      <c r="K35" s="656">
        <f t="shared" si="0"/>
        <v>7608424.2512698136</v>
      </c>
      <c r="L35" s="659" t="s">
        <v>1199</v>
      </c>
      <c r="M35" s="659" t="s">
        <v>1204</v>
      </c>
      <c r="N35" s="657" cm="1">
        <f t="array" ref="N35">IFERROR($K35*INDEX(N$2:N$9,MATCH(1,($L$2:$L$9=$D35)*($M$2:$M$9=$H35),0)),"")</f>
        <v>8025076.3705178751</v>
      </c>
      <c r="O35" s="657" cm="1">
        <f t="array" ref="O35">IFERROR($K35*INDEX(O$2:O$9,MATCH(1,($L$2:$L$9=$D35)*($M$2:$M$9=$H35),0)),"")</f>
        <v>7013328.2443530783</v>
      </c>
      <c r="P35" s="657" cm="1">
        <f t="array" ref="P35">IFERROR($K35*INDEX(P$2:P$9,MATCH(1,($L$2:$L$9=$D35)*($M$2:$M$9=$H35),0)),"")</f>
        <v>6526585.1143903974</v>
      </c>
      <c r="Q35" s="657" cm="1">
        <f t="array" ref="Q35">IFERROR($K35*INDEX(Q$2:Q$9,MATCH(1,($L$2:$L$9=$D35)*($M$2:$M$9=$H35),0)),"")</f>
        <v>6157966.3915634481</v>
      </c>
      <c r="R35" s="657" cm="1">
        <f t="array" ref="R35">IFERROR($K35*INDEX(R$2:R$9,MATCH(1,($L$2:$L$9=$D35)*($M$2:$M$9=$H35),0)),"")</f>
        <v>5789347.668736482</v>
      </c>
      <c r="S35" s="657" cm="1">
        <f t="array" ref="S35">IFERROR($K35*INDEX(S$2:S$9,MATCH(1,($L$2:$L$9=$D35)*($M$2:$M$9=$H35),0)),"")</f>
        <v>5719909.2211935893</v>
      </c>
      <c r="T35" s="657" cm="1">
        <f t="array" ref="T35">IFERROR($K35*INDEX(T$2:T$9,MATCH(1,($L$2:$L$9=$D35)*($M$2:$M$9=$H35),0)),"")</f>
        <v>5650470.7736506928</v>
      </c>
      <c r="U35" s="680">
        <f t="shared" si="9"/>
        <v>2.7E-2</v>
      </c>
      <c r="V35" s="719">
        <f t="shared" si="10"/>
        <v>216677.06200398263</v>
      </c>
      <c r="W35" s="719">
        <f t="shared" si="1"/>
        <v>189359.86259753312</v>
      </c>
      <c r="X35" s="719">
        <f t="shared" si="2"/>
        <v>176217.79808854073</v>
      </c>
      <c r="Y35" s="719">
        <f t="shared" si="3"/>
        <v>166265.09257221309</v>
      </c>
      <c r="Z35" s="719">
        <f t="shared" si="4"/>
        <v>156312.38705588502</v>
      </c>
      <c r="AA35" s="719">
        <f t="shared" si="5"/>
        <v>154437.54897222691</v>
      </c>
      <c r="AB35" s="719">
        <f t="shared" si="6"/>
        <v>152562.71088856869</v>
      </c>
      <c r="AC35" s="681" t="str">
        <f t="shared" si="7"/>
        <v>TPPUBUSHGNF-N</v>
      </c>
    </row>
    <row r="36" spans="1:29" x14ac:dyDescent="0.25">
      <c r="A36" s="227" t="s">
        <v>963</v>
      </c>
      <c r="B36" s="220" t="e">
        <f>VLOOKUP($A36,ITEMS_Tech_N!$D$6:$E$122,2,FALSE)</f>
        <v>#N/A</v>
      </c>
      <c r="C36" s="220" t="s">
        <v>1293</v>
      </c>
      <c r="D36" s="711" t="str">
        <f t="shared" si="8"/>
        <v>Other</v>
      </c>
      <c r="E36" s="220" t="s">
        <v>139</v>
      </c>
      <c r="F36" s="220" t="s">
        <v>139</v>
      </c>
      <c r="G36" s="642" t="s">
        <v>1111</v>
      </c>
      <c r="H36" s="220" t="s">
        <v>326</v>
      </c>
      <c r="I36" s="656"/>
      <c r="J36" s="658">
        <f>J33</f>
        <v>2295000</v>
      </c>
      <c r="K36" s="656">
        <f t="shared" si="0"/>
        <v>2041772.3718505651</v>
      </c>
      <c r="L36" s="659" t="s">
        <v>1199</v>
      </c>
      <c r="M36" s="659" t="s">
        <v>1207</v>
      </c>
      <c r="N36" s="657" cm="1">
        <f t="array" ref="N36">IFERROR($K36*INDEX(N$2:N$9,MATCH(1,($L$2:$L$9=$D36)*($M$2:$M$9=$H36),0)),"")</f>
        <v>1999968.6663604942</v>
      </c>
      <c r="O36" s="657" cm="1">
        <f t="array" ref="O36">IFERROR($K36*INDEX(O$2:O$9,MATCH(1,($L$2:$L$9=$D36)*($M$2:$M$9=$H36),0)),"")</f>
        <v>2044655.810912492</v>
      </c>
      <c r="P36" s="657" cm="1">
        <f t="array" ref="P36">IFERROR($K36*INDEX(P$2:P$9,MATCH(1,($L$2:$L$9=$D36)*($M$2:$M$9=$H36),0)),"")</f>
        <v>2059073.0062221282</v>
      </c>
      <c r="Q36" s="657" cm="1">
        <f t="array" ref="Q36">IFERROR($K36*INDEX(Q$2:Q$9,MATCH(1,($L$2:$L$9=$D36)*($M$2:$M$9=$H36),0)),"")</f>
        <v>2070490.4300845908</v>
      </c>
      <c r="R36" s="657" cm="1">
        <f t="array" ref="R36">IFERROR($K36*INDEX(R$2:R$9,MATCH(1,($L$2:$L$9=$D36)*($M$2:$M$9=$H36),0)),"")</f>
        <v>2081907.8539470532</v>
      </c>
      <c r="S36" s="657" cm="1">
        <f t="array" ref="S36">IFERROR($K36*INDEX(S$2:S$9,MATCH(1,($L$2:$L$9=$D36)*($M$2:$M$9=$H36),0)),"")</f>
        <v>2086644.0549279742</v>
      </c>
      <c r="T36" s="657" cm="1">
        <f t="array" ref="T36">IFERROR($K36*INDEX(T$2:T$9,MATCH(1,($L$2:$L$9=$D36)*($M$2:$M$9=$H36),0)),"")</f>
        <v>2091380.2559088953</v>
      </c>
      <c r="U36" s="680">
        <f t="shared" si="9"/>
        <v>2.7E-2</v>
      </c>
      <c r="V36" s="719">
        <f t="shared" si="10"/>
        <v>53999.153991733343</v>
      </c>
      <c r="W36" s="719">
        <f t="shared" si="1"/>
        <v>55205.706894637282</v>
      </c>
      <c r="X36" s="719">
        <f t="shared" si="2"/>
        <v>55594.971167997457</v>
      </c>
      <c r="Y36" s="719">
        <f t="shared" si="3"/>
        <v>55903.24161228395</v>
      </c>
      <c r="Z36" s="719">
        <f t="shared" si="4"/>
        <v>56211.512056570435</v>
      </c>
      <c r="AA36" s="719">
        <f t="shared" si="5"/>
        <v>56339.389483055304</v>
      </c>
      <c r="AB36" s="719">
        <f t="shared" si="6"/>
        <v>56467.266909540172</v>
      </c>
      <c r="AC36" s="681" t="str">
        <f t="shared" si="7"/>
        <v>TPPUBUSBGS-N</v>
      </c>
    </row>
    <row r="37" spans="1:29" x14ac:dyDescent="0.25">
      <c r="A37" s="227" t="s">
        <v>965</v>
      </c>
      <c r="B37" s="220" t="str">
        <f>VLOOKUP($A37,ITEMS_Tech_N!$D$6:$E$122,2,FALSE)</f>
        <v>Transport Passenger Bus Electricity-N</v>
      </c>
      <c r="C37" s="220" t="s">
        <v>1293</v>
      </c>
      <c r="D37" s="711" t="str">
        <f t="shared" si="8"/>
        <v>Other</v>
      </c>
      <c r="E37" s="220" t="s">
        <v>139</v>
      </c>
      <c r="F37" s="220" t="s">
        <v>139</v>
      </c>
      <c r="G37" s="220" t="s">
        <v>1117</v>
      </c>
      <c r="H37" s="220" t="s">
        <v>1117</v>
      </c>
      <c r="I37" s="733"/>
      <c r="J37" s="733">
        <f>K37</f>
        <v>4083544.7437011302</v>
      </c>
      <c r="K37" s="733">
        <f>K33*2</f>
        <v>4083544.7437011302</v>
      </c>
      <c r="L37" s="734" t="s">
        <v>1241</v>
      </c>
      <c r="M37" s="734" t="s">
        <v>1335</v>
      </c>
      <c r="N37" s="657" cm="1">
        <f t="array" ref="N37">IFERROR($K37*INDEX(N$2:N$9,MATCH(1,($L$2:$L$9=$D37)*($M$2:$M$9=$H37),0)),"")</f>
        <v>4683883.5147209205</v>
      </c>
      <c r="O37" s="657" cm="1">
        <f t="array" ref="O37">IFERROR($K37*INDEX(O$2:O$9,MATCH(1,($L$2:$L$9=$D37)*($M$2:$M$9=$H37),0)),"")</f>
        <v>3676130.8887347556</v>
      </c>
      <c r="P37" s="657" cm="1">
        <f t="array" ref="P37">IFERROR($K37*INDEX(P$2:P$9,MATCH(1,($L$2:$L$9=$D37)*($M$2:$M$9=$H37),0)),"")</f>
        <v>2974800.5487583657</v>
      </c>
      <c r="Q37" s="657" cm="1">
        <f t="array" ref="Q37">IFERROR($K37*INDEX(Q$2:Q$9,MATCH(1,($L$2:$L$9=$D37)*($M$2:$M$9=$H37),0)),"")</f>
        <v>2808790.8031861894</v>
      </c>
      <c r="R37" s="657" cm="1">
        <f t="array" ref="R37">IFERROR($K37*INDEX(R$2:R$9,MATCH(1,($L$2:$L$9=$D37)*($M$2:$M$9=$H37),0)),"")</f>
        <v>2642781.0576140159</v>
      </c>
      <c r="S37" s="657" cm="1">
        <f t="array" ref="S37">IFERROR($K37*INDEX(S$2:S$9,MATCH(1,($L$2:$L$9=$D37)*($M$2:$M$9=$H37),0)),"")</f>
        <v>2593489.9438283136</v>
      </c>
      <c r="T37" s="657" cm="1">
        <f t="array" ref="T37">IFERROR($K37*INDEX(T$2:T$9,MATCH(1,($L$2:$L$9=$D37)*($M$2:$M$9=$H37),0)),"")</f>
        <v>2544198.8300426109</v>
      </c>
      <c r="U37" s="680">
        <f t="shared" si="9"/>
        <v>1.9E-2</v>
      </c>
      <c r="V37" s="719">
        <f t="shared" si="10"/>
        <v>88993.78677969749</v>
      </c>
      <c r="W37" s="719">
        <f t="shared" si="1"/>
        <v>69846.486885960359</v>
      </c>
      <c r="X37" s="719">
        <f t="shared" si="2"/>
        <v>56521.210426408943</v>
      </c>
      <c r="Y37" s="719">
        <f t="shared" si="3"/>
        <v>53367.025260537594</v>
      </c>
      <c r="Z37" s="719">
        <f t="shared" si="4"/>
        <v>50212.840094666302</v>
      </c>
      <c r="AA37" s="719">
        <f t="shared" si="5"/>
        <v>49276.308932737957</v>
      </c>
      <c r="AB37" s="719">
        <f t="shared" si="6"/>
        <v>48339.777770809604</v>
      </c>
      <c r="AC37" s="681" t="str">
        <f t="shared" si="7"/>
        <v>TPPUBUSELC-N</v>
      </c>
    </row>
    <row r="38" spans="1:29" x14ac:dyDescent="0.25">
      <c r="A38" s="227" t="s">
        <v>967</v>
      </c>
      <c r="B38" s="220" t="str">
        <f>VLOOKUP($A38,ITEMS_Tech_N!$D$6:$E$122,2,FALSE)</f>
        <v>Transport Passenger Minibus Oil Diesel-N</v>
      </c>
      <c r="C38" s="220" t="s">
        <v>1293</v>
      </c>
      <c r="D38" s="711" t="str">
        <f t="shared" si="8"/>
        <v>Other</v>
      </c>
      <c r="E38" s="220" t="s">
        <v>384</v>
      </c>
      <c r="F38" s="220" t="s">
        <v>1110</v>
      </c>
      <c r="G38" s="220" t="s">
        <v>1111</v>
      </c>
      <c r="H38" s="220" t="s">
        <v>326</v>
      </c>
      <c r="I38" s="733">
        <f>I39*7/6</f>
        <v>675225.83333333337</v>
      </c>
      <c r="J38" s="733">
        <f>I38</f>
        <v>675225.83333333337</v>
      </c>
      <c r="K38" s="733">
        <f t="shared" si="0"/>
        <v>600722.20098465122</v>
      </c>
      <c r="L38" s="734" t="s">
        <v>1199</v>
      </c>
      <c r="M38" s="734" t="s">
        <v>1241</v>
      </c>
      <c r="N38" s="657" cm="1">
        <f t="array" ref="N38">IFERROR($K38*INDEX(N$2:N$9,MATCH(1,($L$2:$L$9=$D38)*($M$2:$M$9=$H38),0)),"")</f>
        <v>588422.87990580406</v>
      </c>
      <c r="O38" s="657" cm="1">
        <f t="array" ref="O38">IFERROR($K38*INDEX(O$2:O$9,MATCH(1,($L$2:$L$9=$D38)*($M$2:$M$9=$H38),0)),"")</f>
        <v>601570.55503408716</v>
      </c>
      <c r="P38" s="657" cm="1">
        <f t="array" ref="P38">IFERROR($K38*INDEX(P$2:P$9,MATCH(1,($L$2:$L$9=$D38)*($M$2:$M$9=$H38),0)),"")</f>
        <v>605812.3252812674</v>
      </c>
      <c r="Q38" s="657" cm="1">
        <f t="array" ref="Q38">IFERROR($K38*INDEX(Q$2:Q$9,MATCH(1,($L$2:$L$9=$D38)*($M$2:$M$9=$H38),0)),"")</f>
        <v>609171.51462420903</v>
      </c>
      <c r="R38" s="657" cm="1">
        <f t="array" ref="R38">IFERROR($K38*INDEX(R$2:R$9,MATCH(1,($L$2:$L$9=$D38)*($M$2:$M$9=$H38),0)),"")</f>
        <v>612530.70396715065</v>
      </c>
      <c r="S38" s="657" cm="1">
        <f t="array" ref="S38">IFERROR($K38*INDEX(S$2:S$9,MATCH(1,($L$2:$L$9=$D38)*($M$2:$M$9=$H38),0)),"")</f>
        <v>613924.17030883976</v>
      </c>
      <c r="T38" s="657" cm="1">
        <f t="array" ref="T38">IFERROR($K38*INDEX(T$2:T$9,MATCH(1,($L$2:$L$9=$D38)*($M$2:$M$9=$H38),0)),"")</f>
        <v>615317.63665052899</v>
      </c>
      <c r="U38" s="680">
        <f t="shared" si="9"/>
        <v>2.7E-2</v>
      </c>
      <c r="V38" s="719">
        <f t="shared" si="10"/>
        <v>15887.417757456709</v>
      </c>
      <c r="W38" s="719">
        <f t="shared" si="1"/>
        <v>16242.404985920353</v>
      </c>
      <c r="X38" s="719">
        <f t="shared" si="2"/>
        <v>16356.93278259422</v>
      </c>
      <c r="Y38" s="719">
        <f t="shared" si="3"/>
        <v>16447.630894853643</v>
      </c>
      <c r="Z38" s="719">
        <f t="shared" si="4"/>
        <v>16538.329007113069</v>
      </c>
      <c r="AA38" s="719">
        <f t="shared" si="5"/>
        <v>16575.952598338674</v>
      </c>
      <c r="AB38" s="719">
        <f t="shared" si="6"/>
        <v>16613.576189564283</v>
      </c>
      <c r="AC38" s="681" t="str">
        <f t="shared" si="7"/>
        <v>TPPUMBTODS-N</v>
      </c>
    </row>
    <row r="39" spans="1:29" x14ac:dyDescent="0.25">
      <c r="A39" s="227" t="s">
        <v>969</v>
      </c>
      <c r="B39" s="220" t="str">
        <f>VLOOKUP($A39,ITEMS_Tech_N!$D$6:$E$122,2,FALSE)</f>
        <v>Transport Passenger Minibus Oil Gasoline-N</v>
      </c>
      <c r="C39" s="220" t="s">
        <v>1293</v>
      </c>
      <c r="D39" s="711" t="str">
        <f t="shared" si="8"/>
        <v>Other</v>
      </c>
      <c r="E39" s="220" t="s">
        <v>384</v>
      </c>
      <c r="F39" s="220" t="s">
        <v>1110</v>
      </c>
      <c r="G39" s="220" t="s">
        <v>1112</v>
      </c>
      <c r="H39" s="220" t="s">
        <v>326</v>
      </c>
      <c r="I39" s="733">
        <f>680900*0.85</f>
        <v>578765</v>
      </c>
      <c r="J39" s="733">
        <f>I39</f>
        <v>578765</v>
      </c>
      <c r="K39" s="733">
        <f t="shared" si="0"/>
        <v>514904.74370112957</v>
      </c>
      <c r="L39" s="734" t="s">
        <v>1191</v>
      </c>
      <c r="M39" s="734" t="s">
        <v>1192</v>
      </c>
      <c r="N39" s="657" cm="1">
        <f t="array" ref="N39">IFERROR($K39*INDEX(N$2:N$9,MATCH(1,($L$2:$L$9=$D39)*($M$2:$M$9=$H39),0)),"")</f>
        <v>504362.46849068912</v>
      </c>
      <c r="O39" s="657" cm="1">
        <f t="array" ref="O39">IFERROR($K39*INDEX(O$2:O$9,MATCH(1,($L$2:$L$9=$D39)*($M$2:$M$9=$H39),0)),"")</f>
        <v>515631.90431493183</v>
      </c>
      <c r="P39" s="657" cm="1">
        <f t="array" ref="P39">IFERROR($K39*INDEX(P$2:P$9,MATCH(1,($L$2:$L$9=$D39)*($M$2:$M$9=$H39),0)),"")</f>
        <v>519267.70738394343</v>
      </c>
      <c r="Q39" s="657" cm="1">
        <f t="array" ref="Q39">IFERROR($K39*INDEX(Q$2:Q$9,MATCH(1,($L$2:$L$9=$D39)*($M$2:$M$9=$H39),0)),"")</f>
        <v>522147.01253503625</v>
      </c>
      <c r="R39" s="657" cm="1">
        <f t="array" ref="R39">IFERROR($K39*INDEX(R$2:R$9,MATCH(1,($L$2:$L$9=$D39)*($M$2:$M$9=$H39),0)),"")</f>
        <v>525026.31768612913</v>
      </c>
      <c r="S39" s="657" cm="1">
        <f t="array" ref="S39">IFERROR($K39*INDEX(S$2:S$9,MATCH(1,($L$2:$L$9=$D39)*($M$2:$M$9=$H39),0)),"")</f>
        <v>526220.71740757697</v>
      </c>
      <c r="T39" s="657" cm="1">
        <f t="array" ref="T39">IFERROR($K39*INDEX(T$2:T$9,MATCH(1,($L$2:$L$9=$D39)*($M$2:$M$9=$H39),0)),"")</f>
        <v>527415.11712902482</v>
      </c>
      <c r="U39" s="680">
        <f t="shared" si="9"/>
        <v>2.7E-2</v>
      </c>
      <c r="V39" s="719">
        <f t="shared" si="10"/>
        <v>13617.786649248606</v>
      </c>
      <c r="W39" s="719">
        <f t="shared" si="1"/>
        <v>13922.061416503158</v>
      </c>
      <c r="X39" s="719">
        <f t="shared" si="2"/>
        <v>14020.228099366472</v>
      </c>
      <c r="Y39" s="719">
        <f t="shared" si="3"/>
        <v>14097.969338445979</v>
      </c>
      <c r="Z39" s="719">
        <f t="shared" si="4"/>
        <v>14175.710577525486</v>
      </c>
      <c r="AA39" s="719">
        <f t="shared" si="5"/>
        <v>14207.959370004579</v>
      </c>
      <c r="AB39" s="719">
        <f t="shared" si="6"/>
        <v>14240.20816248367</v>
      </c>
      <c r="AC39" s="681" t="str">
        <f t="shared" si="7"/>
        <v>TPPUMBTOGS-N</v>
      </c>
    </row>
    <row r="40" spans="1:29" x14ac:dyDescent="0.25">
      <c r="A40" s="227" t="s">
        <v>971</v>
      </c>
      <c r="B40" s="220" t="e">
        <f>VLOOKUP($A40,ITEMS_Tech_N!$D$6:$E$122,2,FALSE)</f>
        <v>#N/A</v>
      </c>
      <c r="C40" s="220" t="s">
        <v>1293</v>
      </c>
      <c r="D40" s="711" t="str">
        <f t="shared" si="8"/>
        <v>Other</v>
      </c>
      <c r="E40" s="220" t="s">
        <v>384</v>
      </c>
      <c r="F40" s="220" t="s">
        <v>1110</v>
      </c>
      <c r="G40" s="220" t="s">
        <v>1113</v>
      </c>
      <c r="H40" s="220" t="s">
        <v>1219</v>
      </c>
      <c r="I40" s="656"/>
      <c r="J40" s="658">
        <f>J38*J16/J14</f>
        <v>776218.15367202321</v>
      </c>
      <c r="K40" s="656">
        <f t="shared" si="0"/>
        <v>690571.14627293823</v>
      </c>
      <c r="L40" s="659" t="s">
        <v>1199</v>
      </c>
      <c r="M40" s="659" t="s">
        <v>1206</v>
      </c>
      <c r="N40" s="657" cm="1">
        <f t="array" ref="N40">IFERROR($K40*INDEX(N$2:N$9,MATCH(1,($L$2:$L$9=$D40)*($M$2:$M$9=$H40),0)),"")</f>
        <v>736037.43673089554</v>
      </c>
      <c r="O40" s="657" cm="1">
        <f t="array" ref="O40">IFERROR($K40*INDEX(O$2:O$9,MATCH(1,($L$2:$L$9=$D40)*($M$2:$M$9=$H40),0)),"")</f>
        <v>711288.28066112637</v>
      </c>
      <c r="P40" s="657" cm="1">
        <f t="array" ref="P40">IFERROR($K40*INDEX(P$2:P$9,MATCH(1,($L$2:$L$9=$D40)*($M$2:$M$9=$H40),0)),"")</f>
        <v>689190.00398039236</v>
      </c>
      <c r="Q40" s="657" cm="1">
        <f t="array" ref="Q40">IFERROR($K40*INDEX(Q$2:Q$9,MATCH(1,($L$2:$L$9=$D40)*($M$2:$M$9=$H40),0)),"")</f>
        <v>673306.86761611479</v>
      </c>
      <c r="R40" s="657" cm="1">
        <f t="array" ref="R40">IFERROR($K40*INDEX(R$2:R$9,MATCH(1,($L$2:$L$9=$D40)*($M$2:$M$9=$H40),0)),"")</f>
        <v>663643.74021735752</v>
      </c>
      <c r="S40" s="657" cm="1">
        <f t="array" ref="S40">IFERROR($K40*INDEX(S$2:S$9,MATCH(1,($L$2:$L$9=$D40)*($M$2:$M$9=$H40),0)),"")</f>
        <v>659565.01194348838</v>
      </c>
      <c r="T40" s="657" cm="1">
        <f t="array" ref="T40">IFERROR($K40*INDEX(T$2:T$9,MATCH(1,($L$2:$L$9=$D40)*($M$2:$M$9=$H40),0)),"")</f>
        <v>655486.28366961924</v>
      </c>
      <c r="U40" s="680">
        <f t="shared" si="9"/>
        <v>2.7E-2</v>
      </c>
      <c r="V40" s="719">
        <f t="shared" si="10"/>
        <v>19873.010791734181</v>
      </c>
      <c r="W40" s="719">
        <f t="shared" si="1"/>
        <v>19204.783577850412</v>
      </c>
      <c r="X40" s="719">
        <f t="shared" si="2"/>
        <v>18608.130107470595</v>
      </c>
      <c r="Y40" s="719">
        <f t="shared" si="3"/>
        <v>18179.285425635098</v>
      </c>
      <c r="Z40" s="719">
        <f t="shared" si="4"/>
        <v>17918.380985868655</v>
      </c>
      <c r="AA40" s="719">
        <f t="shared" si="5"/>
        <v>17808.255322474186</v>
      </c>
      <c r="AB40" s="719">
        <f t="shared" si="6"/>
        <v>17698.129659079721</v>
      </c>
      <c r="AC40" s="681" t="str">
        <f t="shared" si="7"/>
        <v>TPPUMBTODSH-N</v>
      </c>
    </row>
    <row r="41" spans="1:29" x14ac:dyDescent="0.25">
      <c r="A41" s="227" t="s">
        <v>973</v>
      </c>
      <c r="B41" s="220" t="e">
        <f>VLOOKUP($A41,ITEMS_Tech_N!$D$6:$E$122,2,FALSE)</f>
        <v>#N/A</v>
      </c>
      <c r="C41" s="220" t="s">
        <v>1293</v>
      </c>
      <c r="D41" s="711" t="str">
        <f t="shared" si="8"/>
        <v>Other</v>
      </c>
      <c r="E41" s="220" t="s">
        <v>384</v>
      </c>
      <c r="F41" s="220" t="s">
        <v>1110</v>
      </c>
      <c r="G41" s="220" t="s">
        <v>1115</v>
      </c>
      <c r="H41" s="220" t="s">
        <v>326</v>
      </c>
      <c r="I41" s="656"/>
      <c r="J41" s="661" t="s">
        <v>504</v>
      </c>
      <c r="K41" s="656" t="str">
        <f t="shared" si="0"/>
        <v/>
      </c>
      <c r="L41" s="220"/>
      <c r="M41" s="220"/>
      <c r="N41" s="657" t="str" cm="1">
        <f t="array" ref="N41">IFERROR($K41*INDEX(N$2:N$9,MATCH(1,($L$2:$L$9=$D41)*($M$2:$M$9=$H41),0)),"")</f>
        <v/>
      </c>
      <c r="O41" s="657" t="str" cm="1">
        <f t="array" ref="O41">IFERROR($K41*INDEX(O$2:O$9,MATCH(1,($L$2:$L$9=$D41)*($M$2:$M$9=$H41),0)),"")</f>
        <v/>
      </c>
      <c r="P41" s="657" t="str" cm="1">
        <f t="array" ref="P41">IFERROR($K41*INDEX(P$2:P$9,MATCH(1,($L$2:$L$9=$D41)*($M$2:$M$9=$H41),0)),"")</f>
        <v/>
      </c>
      <c r="Q41" s="657" t="str" cm="1">
        <f t="array" ref="Q41">IFERROR($K41*INDEX(Q$2:Q$9,MATCH(1,($L$2:$L$9=$D41)*($M$2:$M$9=$H41),0)),"")</f>
        <v/>
      </c>
      <c r="R41" s="657" t="str" cm="1">
        <f t="array" ref="R41">IFERROR($K41*INDEX(R$2:R$9,MATCH(1,($L$2:$L$9=$D41)*($M$2:$M$9=$H41),0)),"")</f>
        <v/>
      </c>
      <c r="S41" s="657" t="str" cm="1">
        <f t="array" ref="S41">IFERROR($K41*INDEX(S$2:S$9,MATCH(1,($L$2:$L$9=$D41)*($M$2:$M$9=$H41),0)),"")</f>
        <v/>
      </c>
      <c r="T41" s="657" t="str" cm="1">
        <f t="array" ref="T41">IFERROR($K41*INDEX(T$2:T$9,MATCH(1,($L$2:$L$9=$D41)*($M$2:$M$9=$H41),0)),"")</f>
        <v/>
      </c>
      <c r="U41" s="680">
        <f t="shared" si="9"/>
        <v>2.7E-2</v>
      </c>
      <c r="V41" s="719" t="str">
        <f t="shared" si="10"/>
        <v/>
      </c>
      <c r="W41" s="719" t="str">
        <f t="shared" si="1"/>
        <v/>
      </c>
      <c r="X41" s="719" t="str">
        <f t="shared" si="2"/>
        <v/>
      </c>
      <c r="Y41" s="719" t="str">
        <f t="shared" si="3"/>
        <v/>
      </c>
      <c r="Z41" s="719" t="str">
        <f t="shared" si="4"/>
        <v/>
      </c>
      <c r="AA41" s="719" t="str">
        <f t="shared" si="5"/>
        <v/>
      </c>
      <c r="AB41" s="719" t="str">
        <f t="shared" si="6"/>
        <v/>
      </c>
      <c r="AC41" s="681" t="str">
        <f t="shared" si="7"/>
        <v>TPPUMBTGAS-N</v>
      </c>
    </row>
    <row r="42" spans="1:29" x14ac:dyDescent="0.25">
      <c r="A42" s="227" t="s">
        <v>975</v>
      </c>
      <c r="B42" s="220" t="str">
        <f>VLOOKUP($A42,ITEMS_Tech_N!$D$6:$E$122,2,FALSE)</f>
        <v>Transport Passenger Minibus Hydrogen Fuel Cell-N</v>
      </c>
      <c r="C42" s="220" t="s">
        <v>1293</v>
      </c>
      <c r="D42" s="711" t="str">
        <f t="shared" si="8"/>
        <v>Other</v>
      </c>
      <c r="E42" s="220" t="s">
        <v>384</v>
      </c>
      <c r="F42" s="220" t="s">
        <v>1110</v>
      </c>
      <c r="G42" s="220" t="s">
        <v>1116</v>
      </c>
      <c r="H42" s="220" t="s">
        <v>1116</v>
      </c>
      <c r="I42" s="656"/>
      <c r="J42" s="658">
        <f>J44*J29/J27</f>
        <v>2670194.8527512276</v>
      </c>
      <c r="K42" s="656">
        <f t="shared" si="0"/>
        <v>2375568.6613529604</v>
      </c>
      <c r="L42" s="659" t="s">
        <v>1199</v>
      </c>
      <c r="M42" s="659" t="s">
        <v>1204</v>
      </c>
      <c r="N42" s="657" cm="1">
        <f t="array" ref="N42">IFERROR($K42*INDEX(N$2:N$9,MATCH(1,($L$2:$L$9=$D42)*($M$2:$M$9=$H42),0)),"")</f>
        <v>2505659.4244970898</v>
      </c>
      <c r="O42" s="657" cm="1">
        <f t="array" ref="O42">IFERROR($K42*INDEX(O$2:O$9,MATCH(1,($L$2:$L$9=$D42)*($M$2:$M$9=$H42),0)),"")</f>
        <v>2189762.5893148845</v>
      </c>
      <c r="P42" s="657" cm="1">
        <f t="array" ref="P42">IFERROR($K42*INDEX(P$2:P$9,MATCH(1,($L$2:$L$9=$D42)*($M$2:$M$9=$H42),0)),"")</f>
        <v>2037787.3987259509</v>
      </c>
      <c r="Q42" s="657" cm="1">
        <f t="array" ref="Q42">IFERROR($K42*INDEX(Q$2:Q$9,MATCH(1,($L$2:$L$9=$D42)*($M$2:$M$9=$H42),0)),"")</f>
        <v>1922694.0420707266</v>
      </c>
      <c r="R42" s="657" cm="1">
        <f t="array" ref="R42">IFERROR($K42*INDEX(R$2:R$9,MATCH(1,($L$2:$L$9=$D42)*($M$2:$M$9=$H42),0)),"")</f>
        <v>1807600.6854154973</v>
      </c>
      <c r="S42" s="657" cm="1">
        <f t="array" ref="S42">IFERROR($K42*INDEX(S$2:S$9,MATCH(1,($L$2:$L$9=$D42)*($M$2:$M$9=$H42),0)),"")</f>
        <v>1785920.0069427676</v>
      </c>
      <c r="T42" s="657" cm="1">
        <f t="array" ref="T42">IFERROR($K42*INDEX(T$2:T$9,MATCH(1,($L$2:$L$9=$D42)*($M$2:$M$9=$H42),0)),"")</f>
        <v>1764239.3284700373</v>
      </c>
      <c r="U42" s="680">
        <f t="shared" si="9"/>
        <v>2.7E-2</v>
      </c>
      <c r="V42" s="719">
        <f t="shared" si="10"/>
        <v>67652.80446142143</v>
      </c>
      <c r="W42" s="719">
        <f t="shared" si="1"/>
        <v>59123.589911501884</v>
      </c>
      <c r="X42" s="719">
        <f t="shared" si="2"/>
        <v>55020.259765600669</v>
      </c>
      <c r="Y42" s="719">
        <f t="shared" si="3"/>
        <v>51912.739135909622</v>
      </c>
      <c r="Z42" s="719">
        <f t="shared" si="4"/>
        <v>48805.218506218429</v>
      </c>
      <c r="AA42" s="719">
        <f t="shared" si="5"/>
        <v>48219.840187454727</v>
      </c>
      <c r="AB42" s="719">
        <f t="shared" si="6"/>
        <v>47634.461868691003</v>
      </c>
      <c r="AC42" s="681" t="str">
        <f t="shared" si="7"/>
        <v>TPPUMBTHGNF-N</v>
      </c>
    </row>
    <row r="43" spans="1:29" x14ac:dyDescent="0.25">
      <c r="A43" s="227" t="s">
        <v>977</v>
      </c>
      <c r="B43" s="220" t="e">
        <f>VLOOKUP($A43,ITEMS_Tech_N!$D$6:$E$122,2,FALSE)</f>
        <v>#N/A</v>
      </c>
      <c r="C43" s="220" t="s">
        <v>1293</v>
      </c>
      <c r="D43" s="711" t="str">
        <f t="shared" si="8"/>
        <v>Other</v>
      </c>
      <c r="E43" s="220" t="s">
        <v>384</v>
      </c>
      <c r="F43" s="220" t="s">
        <v>1110</v>
      </c>
      <c r="G43" s="642" t="s">
        <v>1112</v>
      </c>
      <c r="H43" s="220" t="s">
        <v>326</v>
      </c>
      <c r="I43" s="656"/>
      <c r="J43" s="658">
        <f>J39</f>
        <v>578765</v>
      </c>
      <c r="K43" s="656">
        <f t="shared" si="0"/>
        <v>514904.74370112957</v>
      </c>
      <c r="L43" s="659" t="s">
        <v>1199</v>
      </c>
      <c r="M43" s="659" t="s">
        <v>1205</v>
      </c>
      <c r="N43" s="657" cm="1">
        <f t="array" ref="N43">IFERROR($K43*INDEX(N$2:N$9,MATCH(1,($L$2:$L$9=$D43)*($M$2:$M$9=$H43),0)),"")</f>
        <v>504362.46849068912</v>
      </c>
      <c r="O43" s="657" cm="1">
        <f t="array" ref="O43">IFERROR($K43*INDEX(O$2:O$9,MATCH(1,($L$2:$L$9=$D43)*($M$2:$M$9=$H43),0)),"")</f>
        <v>515631.90431493183</v>
      </c>
      <c r="P43" s="657" cm="1">
        <f t="array" ref="P43">IFERROR($K43*INDEX(P$2:P$9,MATCH(1,($L$2:$L$9=$D43)*($M$2:$M$9=$H43),0)),"")</f>
        <v>519267.70738394343</v>
      </c>
      <c r="Q43" s="657" cm="1">
        <f t="array" ref="Q43">IFERROR($K43*INDEX(Q$2:Q$9,MATCH(1,($L$2:$L$9=$D43)*($M$2:$M$9=$H43),0)),"")</f>
        <v>522147.01253503625</v>
      </c>
      <c r="R43" s="657" cm="1">
        <f t="array" ref="R43">IFERROR($K43*INDEX(R$2:R$9,MATCH(1,($L$2:$L$9=$D43)*($M$2:$M$9=$H43),0)),"")</f>
        <v>525026.31768612913</v>
      </c>
      <c r="S43" s="657" cm="1">
        <f t="array" ref="S43">IFERROR($K43*INDEX(S$2:S$9,MATCH(1,($L$2:$L$9=$D43)*($M$2:$M$9=$H43),0)),"")</f>
        <v>526220.71740757697</v>
      </c>
      <c r="T43" s="657" cm="1">
        <f t="array" ref="T43">IFERROR($K43*INDEX(T$2:T$9,MATCH(1,($L$2:$L$9=$D43)*($M$2:$M$9=$H43),0)),"")</f>
        <v>527415.11712902482</v>
      </c>
      <c r="U43" s="680">
        <f t="shared" si="9"/>
        <v>2.7E-2</v>
      </c>
      <c r="V43" s="719">
        <f t="shared" si="10"/>
        <v>13617.786649248606</v>
      </c>
      <c r="W43" s="719">
        <f t="shared" si="1"/>
        <v>13922.061416503158</v>
      </c>
      <c r="X43" s="719">
        <f t="shared" si="2"/>
        <v>14020.228099366472</v>
      </c>
      <c r="Y43" s="719">
        <f t="shared" si="3"/>
        <v>14097.969338445979</v>
      </c>
      <c r="Z43" s="719">
        <f t="shared" si="4"/>
        <v>14175.710577525486</v>
      </c>
      <c r="AA43" s="719">
        <f t="shared" si="5"/>
        <v>14207.959370004579</v>
      </c>
      <c r="AB43" s="719">
        <f t="shared" si="6"/>
        <v>14240.20816248367</v>
      </c>
      <c r="AC43" s="681" t="str">
        <f t="shared" si="7"/>
        <v>TPPUMBTBGS-N</v>
      </c>
    </row>
    <row r="44" spans="1:29" x14ac:dyDescent="0.25">
      <c r="A44" s="227" t="s">
        <v>979</v>
      </c>
      <c r="B44" s="220" t="str">
        <f>VLOOKUP($A44,ITEMS_Tech_N!$D$6:$E$122,2,FALSE)</f>
        <v>Transport Passenger Minibus Electricity-N</v>
      </c>
      <c r="C44" s="220" t="s">
        <v>1293</v>
      </c>
      <c r="D44" s="711" t="str">
        <f t="shared" si="8"/>
        <v>Other</v>
      </c>
      <c r="E44" s="220" t="s">
        <v>384</v>
      </c>
      <c r="F44" s="220" t="s">
        <v>1110</v>
      </c>
      <c r="G44" s="220" t="s">
        <v>1117</v>
      </c>
      <c r="H44" s="220" t="s">
        <v>1117</v>
      </c>
      <c r="I44" s="656">
        <f>1500000*0.85</f>
        <v>1275000</v>
      </c>
      <c r="J44" s="656">
        <f>I44</f>
        <v>1275000</v>
      </c>
      <c r="K44" s="656">
        <f t="shared" si="0"/>
        <v>1134317.984361425</v>
      </c>
      <c r="L44" s="734" t="s">
        <v>1336</v>
      </c>
      <c r="M44" s="734"/>
      <c r="N44" s="657" cm="1">
        <f t="array" ref="N44">IFERROR($K44*INDEX(N$2:N$9,MATCH(1,($L$2:$L$9=$D44)*($M$2:$M$9=$H44),0)),"")</f>
        <v>1301078.7540891445</v>
      </c>
      <c r="O44" s="657" cm="1">
        <f t="array" ref="O44">IFERROR($K44*INDEX(O$2:O$9,MATCH(1,($L$2:$L$9=$D44)*($M$2:$M$9=$H44),0)),"")</f>
        <v>1021147.4690929876</v>
      </c>
      <c r="P44" s="657" cm="1">
        <f t="array" ref="P44">IFERROR($K44*INDEX(P$2:P$9,MATCH(1,($L$2:$L$9=$D44)*($M$2:$M$9=$H44),0)),"")</f>
        <v>826333.48576621269</v>
      </c>
      <c r="Q44" s="657" cm="1">
        <f t="array" ref="Q44">IFERROR($K44*INDEX(Q$2:Q$9,MATCH(1,($L$2:$L$9=$D44)*($M$2:$M$9=$H44),0)),"")</f>
        <v>780219.66755171923</v>
      </c>
      <c r="R44" s="657" cm="1">
        <f t="array" ref="R44">IFERROR($K44*INDEX(R$2:R$9,MATCH(1,($L$2:$L$9=$D44)*($M$2:$M$9=$H44),0)),"")</f>
        <v>734105.84933722659</v>
      </c>
      <c r="S44" s="657" cm="1">
        <f t="array" ref="S44">IFERROR($K44*INDEX(S$2:S$9,MATCH(1,($L$2:$L$9=$D44)*($M$2:$M$9=$H44),0)),"")</f>
        <v>720413.87328564259</v>
      </c>
      <c r="T44" s="657" cm="1">
        <f t="array" ref="T44">IFERROR($K44*INDEX(T$2:T$9,MATCH(1,($L$2:$L$9=$D44)*($M$2:$M$9=$H44),0)),"")</f>
        <v>706721.89723405859</v>
      </c>
      <c r="U44" s="680">
        <f t="shared" si="9"/>
        <v>1.9E-2</v>
      </c>
      <c r="V44" s="719">
        <f t="shared" si="10"/>
        <v>24720.496327693745</v>
      </c>
      <c r="W44" s="719">
        <f t="shared" si="1"/>
        <v>19401.801912766765</v>
      </c>
      <c r="X44" s="719">
        <f t="shared" si="2"/>
        <v>15700.336229558041</v>
      </c>
      <c r="Y44" s="719">
        <f t="shared" si="3"/>
        <v>14824.173683482664</v>
      </c>
      <c r="Z44" s="719">
        <f t="shared" si="4"/>
        <v>13948.011137407306</v>
      </c>
      <c r="AA44" s="719">
        <f t="shared" si="5"/>
        <v>13687.863592427209</v>
      </c>
      <c r="AB44" s="719">
        <f t="shared" si="6"/>
        <v>13427.716047447113</v>
      </c>
      <c r="AC44" s="681" t="str">
        <f t="shared" si="7"/>
        <v>TPPUMBTELC-N</v>
      </c>
    </row>
    <row r="45" spans="1:29" x14ac:dyDescent="0.25">
      <c r="A45" s="227" t="s">
        <v>394</v>
      </c>
      <c r="B45" s="220" t="str">
        <f>VLOOKUP($A45,ITEMS_Tech_N!$D$6:$E$122,2,FALSE)</f>
        <v>Transport Passenger BRT Oil Diesel-N</v>
      </c>
      <c r="C45" s="220" t="s">
        <v>1293</v>
      </c>
      <c r="D45" s="711" t="str">
        <f t="shared" si="8"/>
        <v>Other</v>
      </c>
      <c r="E45" s="220" t="s">
        <v>140</v>
      </c>
      <c r="F45" s="220" t="s">
        <v>139</v>
      </c>
      <c r="G45" s="220" t="s">
        <v>1111</v>
      </c>
      <c r="H45" s="220" t="s">
        <v>326</v>
      </c>
      <c r="I45" s="656">
        <f>2700000*0.85</f>
        <v>2295000</v>
      </c>
      <c r="J45" s="656">
        <f>I45</f>
        <v>2295000</v>
      </c>
      <c r="K45" s="656">
        <f t="shared" si="0"/>
        <v>2041772.3718505651</v>
      </c>
      <c r="L45" s="220"/>
      <c r="M45" s="220"/>
      <c r="N45" s="657" cm="1">
        <f t="array" ref="N45">IFERROR($K45*INDEX(N$2:N$9,MATCH(1,($L$2:$L$9=$D45)*($M$2:$M$9=$H45),0)),"")</f>
        <v>1999968.6663604942</v>
      </c>
      <c r="O45" s="657" cm="1">
        <f t="array" ref="O45">IFERROR($K45*INDEX(O$2:O$9,MATCH(1,($L$2:$L$9=$D45)*($M$2:$M$9=$H45),0)),"")</f>
        <v>2044655.810912492</v>
      </c>
      <c r="P45" s="657" cm="1">
        <f t="array" ref="P45">IFERROR($K45*INDEX(P$2:P$9,MATCH(1,($L$2:$L$9=$D45)*($M$2:$M$9=$H45),0)),"")</f>
        <v>2059073.0062221282</v>
      </c>
      <c r="Q45" s="657" cm="1">
        <f t="array" ref="Q45">IFERROR($K45*INDEX(Q$2:Q$9,MATCH(1,($L$2:$L$9=$D45)*($M$2:$M$9=$H45),0)),"")</f>
        <v>2070490.4300845908</v>
      </c>
      <c r="R45" s="657" cm="1">
        <f t="array" ref="R45">IFERROR($K45*INDEX(R$2:R$9,MATCH(1,($L$2:$L$9=$D45)*($M$2:$M$9=$H45),0)),"")</f>
        <v>2081907.8539470532</v>
      </c>
      <c r="S45" s="657" cm="1">
        <f t="array" ref="S45">IFERROR($K45*INDEX(S$2:S$9,MATCH(1,($L$2:$L$9=$D45)*($M$2:$M$9=$H45),0)),"")</f>
        <v>2086644.0549279742</v>
      </c>
      <c r="T45" s="657" cm="1">
        <f t="array" ref="T45">IFERROR($K45*INDEX(T$2:T$9,MATCH(1,($L$2:$L$9=$D45)*($M$2:$M$9=$H45),0)),"")</f>
        <v>2091380.2559088953</v>
      </c>
      <c r="U45" s="680">
        <f t="shared" si="9"/>
        <v>2.7E-2</v>
      </c>
      <c r="V45" s="719">
        <f t="shared" si="10"/>
        <v>53999.153991733343</v>
      </c>
      <c r="W45" s="719">
        <f t="shared" si="1"/>
        <v>55205.706894637282</v>
      </c>
      <c r="X45" s="719">
        <f t="shared" si="2"/>
        <v>55594.971167997457</v>
      </c>
      <c r="Y45" s="719">
        <f t="shared" si="3"/>
        <v>55903.24161228395</v>
      </c>
      <c r="Z45" s="719">
        <f t="shared" si="4"/>
        <v>56211.512056570435</v>
      </c>
      <c r="AA45" s="719">
        <f t="shared" si="5"/>
        <v>56339.389483055304</v>
      </c>
      <c r="AB45" s="719">
        <f t="shared" si="6"/>
        <v>56467.266909540172</v>
      </c>
      <c r="AC45" s="681" t="str">
        <f t="shared" si="7"/>
        <v>TPPUBRTODS-N</v>
      </c>
    </row>
    <row r="46" spans="1:29" x14ac:dyDescent="0.25">
      <c r="A46" s="227" t="s">
        <v>982</v>
      </c>
      <c r="B46" s="220" t="e">
        <f>VLOOKUP($A46,ITEMS_Tech_N!$D$6:$E$122,2,FALSE)</f>
        <v>#N/A</v>
      </c>
      <c r="C46" s="220" t="s">
        <v>1293</v>
      </c>
      <c r="D46" s="711" t="str">
        <f t="shared" si="8"/>
        <v>Other</v>
      </c>
      <c r="E46" s="220" t="s">
        <v>140</v>
      </c>
      <c r="F46" s="220" t="s">
        <v>139</v>
      </c>
      <c r="G46" s="220" t="s">
        <v>1115</v>
      </c>
      <c r="H46" s="220" t="s">
        <v>326</v>
      </c>
      <c r="I46" s="656"/>
      <c r="J46" s="661" t="s">
        <v>504</v>
      </c>
      <c r="K46" s="656" t="str">
        <f t="shared" si="0"/>
        <v/>
      </c>
      <c r="L46" s="220"/>
      <c r="M46" s="220"/>
      <c r="N46" s="657" t="str" cm="1">
        <f t="array" ref="N46">IFERROR($K46*INDEX(N$2:N$9,MATCH(1,($L$2:$L$9=$D46)*($M$2:$M$9=$H46),0)),"")</f>
        <v/>
      </c>
      <c r="O46" s="657" t="str" cm="1">
        <f t="array" ref="O46">IFERROR($K46*INDEX(O$2:O$9,MATCH(1,($L$2:$L$9=$D46)*($M$2:$M$9=$H46),0)),"")</f>
        <v/>
      </c>
      <c r="P46" s="657" t="str" cm="1">
        <f t="array" ref="P46">IFERROR($K46*INDEX(P$2:P$9,MATCH(1,($L$2:$L$9=$D46)*($M$2:$M$9=$H46),0)),"")</f>
        <v/>
      </c>
      <c r="Q46" s="657" t="str" cm="1">
        <f t="array" ref="Q46">IFERROR($K46*INDEX(Q$2:Q$9,MATCH(1,($L$2:$L$9=$D46)*($M$2:$M$9=$H46),0)),"")</f>
        <v/>
      </c>
      <c r="R46" s="657" t="str" cm="1">
        <f t="array" ref="R46">IFERROR($K46*INDEX(R$2:R$9,MATCH(1,($L$2:$L$9=$D46)*($M$2:$M$9=$H46),0)),"")</f>
        <v/>
      </c>
      <c r="S46" s="657" t="str" cm="1">
        <f t="array" ref="S46">IFERROR($K46*INDEX(S$2:S$9,MATCH(1,($L$2:$L$9=$D46)*($M$2:$M$9=$H46),0)),"")</f>
        <v/>
      </c>
      <c r="T46" s="657" t="str" cm="1">
        <f t="array" ref="T46">IFERROR($K46*INDEX(T$2:T$9,MATCH(1,($L$2:$L$9=$D46)*($M$2:$M$9=$H46),0)),"")</f>
        <v/>
      </c>
      <c r="U46" s="680">
        <f t="shared" si="9"/>
        <v>2.7E-2</v>
      </c>
      <c r="V46" s="719" t="str">
        <f t="shared" si="10"/>
        <v/>
      </c>
      <c r="W46" s="719" t="str">
        <f t="shared" si="1"/>
        <v/>
      </c>
      <c r="X46" s="719" t="str">
        <f t="shared" si="2"/>
        <v/>
      </c>
      <c r="Y46" s="719" t="str">
        <f t="shared" si="3"/>
        <v/>
      </c>
      <c r="Z46" s="719" t="str">
        <f t="shared" si="4"/>
        <v/>
      </c>
      <c r="AA46" s="719" t="str">
        <f t="shared" si="5"/>
        <v/>
      </c>
      <c r="AB46" s="719" t="str">
        <f t="shared" si="6"/>
        <v/>
      </c>
      <c r="AC46" s="681" t="str">
        <f t="shared" si="7"/>
        <v>TPPUBRTGAS-N</v>
      </c>
    </row>
    <row r="47" spans="1:29" x14ac:dyDescent="0.25">
      <c r="A47" s="227" t="s">
        <v>984</v>
      </c>
      <c r="B47" s="220" t="str">
        <f>VLOOKUP($A47,ITEMS_Tech_N!$D$6:$E$122,2,FALSE)</f>
        <v>Transport Passenger BRT Electricity-N</v>
      </c>
      <c r="C47" s="220" t="s">
        <v>1293</v>
      </c>
      <c r="D47" s="711" t="str">
        <f t="shared" si="8"/>
        <v>Other</v>
      </c>
      <c r="E47" s="220" t="s">
        <v>140</v>
      </c>
      <c r="F47" s="220" t="s">
        <v>139</v>
      </c>
      <c r="G47" s="220" t="s">
        <v>1117</v>
      </c>
      <c r="H47" s="220" t="s">
        <v>1117</v>
      </c>
      <c r="I47" s="656"/>
      <c r="J47" s="656"/>
      <c r="K47" s="733">
        <f>K37</f>
        <v>4083544.7437011302</v>
      </c>
      <c r="L47" s="734" t="s">
        <v>1336</v>
      </c>
      <c r="M47" s="734"/>
      <c r="N47" s="657" cm="1">
        <f t="array" ref="N47">IFERROR($K47*INDEX(N$2:N$9,MATCH(1,($L$2:$L$9=$D47)*($M$2:$M$9=$H47),0)),"")</f>
        <v>4683883.5147209205</v>
      </c>
      <c r="O47" s="657" cm="1">
        <f t="array" ref="O47">IFERROR($K47*INDEX(O$2:O$9,MATCH(1,($L$2:$L$9=$D47)*($M$2:$M$9=$H47),0)),"")</f>
        <v>3676130.8887347556</v>
      </c>
      <c r="P47" s="657" cm="1">
        <f t="array" ref="P47">IFERROR($K47*INDEX(P$2:P$9,MATCH(1,($L$2:$L$9=$D47)*($M$2:$M$9=$H47),0)),"")</f>
        <v>2974800.5487583657</v>
      </c>
      <c r="Q47" s="657" cm="1">
        <f t="array" ref="Q47">IFERROR($K47*INDEX(Q$2:Q$9,MATCH(1,($L$2:$L$9=$D47)*($M$2:$M$9=$H47),0)),"")</f>
        <v>2808790.8031861894</v>
      </c>
      <c r="R47" s="657" cm="1">
        <f t="array" ref="R47">IFERROR($K47*INDEX(R$2:R$9,MATCH(1,($L$2:$L$9=$D47)*($M$2:$M$9=$H47),0)),"")</f>
        <v>2642781.0576140159</v>
      </c>
      <c r="S47" s="657" cm="1">
        <f t="array" ref="S47">IFERROR($K47*INDEX(S$2:S$9,MATCH(1,($L$2:$L$9=$D47)*($M$2:$M$9=$H47),0)),"")</f>
        <v>2593489.9438283136</v>
      </c>
      <c r="T47" s="657" cm="1">
        <f t="array" ref="T47">IFERROR($K47*INDEX(T$2:T$9,MATCH(1,($L$2:$L$9=$D47)*($M$2:$M$9=$H47),0)),"")</f>
        <v>2544198.8300426109</v>
      </c>
      <c r="U47" s="680">
        <f t="shared" si="9"/>
        <v>1.9E-2</v>
      </c>
      <c r="V47" s="719">
        <f t="shared" si="10"/>
        <v>88993.78677969749</v>
      </c>
      <c r="W47" s="719">
        <f t="shared" si="1"/>
        <v>69846.486885960359</v>
      </c>
      <c r="X47" s="719">
        <f t="shared" si="2"/>
        <v>56521.210426408943</v>
      </c>
      <c r="Y47" s="719">
        <f t="shared" si="3"/>
        <v>53367.025260537594</v>
      </c>
      <c r="Z47" s="719">
        <f t="shared" si="4"/>
        <v>50212.840094666302</v>
      </c>
      <c r="AA47" s="719">
        <f t="shared" si="5"/>
        <v>49276.308932737957</v>
      </c>
      <c r="AB47" s="719">
        <f t="shared" si="6"/>
        <v>48339.777770809604</v>
      </c>
      <c r="AC47" s="681" t="str">
        <f t="shared" ref="AC47:AC79" si="18">A47</f>
        <v>TPPUBRTELC-N</v>
      </c>
    </row>
    <row r="48" spans="1:29" x14ac:dyDescent="0.25">
      <c r="A48" s="227" t="s">
        <v>986</v>
      </c>
      <c r="B48" s="220" t="str">
        <f>VLOOKUP($A48,ITEMS_Tech_N!$D$6:$E$122,2,FALSE)</f>
        <v>Transport Passenger BRT Hydrogen-N</v>
      </c>
      <c r="C48" s="220" t="s">
        <v>1293</v>
      </c>
      <c r="D48" s="711" t="str">
        <f t="shared" si="8"/>
        <v>Other</v>
      </c>
      <c r="E48" s="220" t="s">
        <v>140</v>
      </c>
      <c r="F48" s="220" t="s">
        <v>139</v>
      </c>
      <c r="G48" s="220" t="s">
        <v>1116</v>
      </c>
      <c r="H48" s="220" t="s">
        <v>1116</v>
      </c>
      <c r="I48" s="656"/>
      <c r="J48" s="658">
        <f>J35</f>
        <v>8552047.1808706578</v>
      </c>
      <c r="K48" s="656">
        <f t="shared" ref="K48:K78" si="19">IFERROR(J48/$K$11,"")</f>
        <v>7608424.2512698136</v>
      </c>
      <c r="L48" s="659" t="s">
        <v>1199</v>
      </c>
      <c r="M48" s="659" t="s">
        <v>1204</v>
      </c>
      <c r="N48" s="657" cm="1">
        <f t="array" ref="N48">IFERROR($K48*INDEX(N$2:N$9,MATCH(1,($L$2:$L$9=$D48)*($M$2:$M$9=$H48),0)),"")</f>
        <v>8025076.3705178751</v>
      </c>
      <c r="O48" s="657" cm="1">
        <f t="array" ref="O48">IFERROR($K48*INDEX(O$2:O$9,MATCH(1,($L$2:$L$9=$D48)*($M$2:$M$9=$H48),0)),"")</f>
        <v>7013328.2443530783</v>
      </c>
      <c r="P48" s="657" cm="1">
        <f t="array" ref="P48">IFERROR($K48*INDEX(P$2:P$9,MATCH(1,($L$2:$L$9=$D48)*($M$2:$M$9=$H48),0)),"")</f>
        <v>6526585.1143903974</v>
      </c>
      <c r="Q48" s="657" cm="1">
        <f t="array" ref="Q48">IFERROR($K48*INDEX(Q$2:Q$9,MATCH(1,($L$2:$L$9=$D48)*($M$2:$M$9=$H48),0)),"")</f>
        <v>6157966.3915634481</v>
      </c>
      <c r="R48" s="657" cm="1">
        <f t="array" ref="R48">IFERROR($K48*INDEX(R$2:R$9,MATCH(1,($L$2:$L$9=$D48)*($M$2:$M$9=$H48),0)),"")</f>
        <v>5789347.668736482</v>
      </c>
      <c r="S48" s="657" cm="1">
        <f t="array" ref="S48">IFERROR($K48*INDEX(S$2:S$9,MATCH(1,($L$2:$L$9=$D48)*($M$2:$M$9=$H48),0)),"")</f>
        <v>5719909.2211935893</v>
      </c>
      <c r="T48" s="657" cm="1">
        <f t="array" ref="T48">IFERROR($K48*INDEX(T$2:T$9,MATCH(1,($L$2:$L$9=$D48)*($M$2:$M$9=$H48),0)),"")</f>
        <v>5650470.7736506928</v>
      </c>
      <c r="U48" s="680">
        <f t="shared" si="9"/>
        <v>2.7E-2</v>
      </c>
      <c r="V48" s="719">
        <f t="shared" si="10"/>
        <v>216677.06200398263</v>
      </c>
      <c r="W48" s="719">
        <f t="shared" si="1"/>
        <v>189359.86259753312</v>
      </c>
      <c r="X48" s="719">
        <f t="shared" si="2"/>
        <v>176217.79808854073</v>
      </c>
      <c r="Y48" s="719">
        <f t="shared" si="3"/>
        <v>166265.09257221309</v>
      </c>
      <c r="Z48" s="719">
        <f t="shared" si="4"/>
        <v>156312.38705588502</v>
      </c>
      <c r="AA48" s="719">
        <f t="shared" si="5"/>
        <v>154437.54897222691</v>
      </c>
      <c r="AB48" s="719">
        <f t="shared" si="6"/>
        <v>152562.71088856869</v>
      </c>
      <c r="AC48" s="681" t="str">
        <f t="shared" si="18"/>
        <v>TPPUBRTHGNF-N</v>
      </c>
    </row>
    <row r="49" spans="1:29" x14ac:dyDescent="0.25">
      <c r="A49" s="227" t="s">
        <v>988</v>
      </c>
      <c r="B49" s="220" t="e">
        <f>VLOOKUP($A49,ITEMS_Tech_N!$D$6:$E$122,2,FALSE)</f>
        <v>#N/A</v>
      </c>
      <c r="C49" s="220" t="s">
        <v>1293</v>
      </c>
      <c r="D49" s="711" t="str">
        <f t="shared" si="8"/>
        <v>Other</v>
      </c>
      <c r="E49" s="220" t="s">
        <v>140</v>
      </c>
      <c r="F49" s="220" t="s">
        <v>139</v>
      </c>
      <c r="G49" s="642" t="s">
        <v>1111</v>
      </c>
      <c r="H49" s="220" t="s">
        <v>326</v>
      </c>
      <c r="I49" s="656"/>
      <c r="J49" s="658">
        <f>J45</f>
        <v>2295000</v>
      </c>
      <c r="K49" s="656">
        <f t="shared" si="19"/>
        <v>2041772.3718505651</v>
      </c>
      <c r="L49" s="659" t="s">
        <v>1199</v>
      </c>
      <c r="M49" s="659" t="s">
        <v>1205</v>
      </c>
      <c r="N49" s="657" cm="1">
        <f t="array" ref="N49">IFERROR($K49*INDEX(N$2:N$9,MATCH(1,($L$2:$L$9=$D49)*($M$2:$M$9=$H49),0)),"")</f>
        <v>1999968.6663604942</v>
      </c>
      <c r="O49" s="657" cm="1">
        <f t="array" ref="O49">IFERROR($K49*INDEX(O$2:O$9,MATCH(1,($L$2:$L$9=$D49)*($M$2:$M$9=$H49),0)),"")</f>
        <v>2044655.810912492</v>
      </c>
      <c r="P49" s="657" cm="1">
        <f t="array" ref="P49">IFERROR($K49*INDEX(P$2:P$9,MATCH(1,($L$2:$L$9=$D49)*($M$2:$M$9=$H49),0)),"")</f>
        <v>2059073.0062221282</v>
      </c>
      <c r="Q49" s="657" cm="1">
        <f t="array" ref="Q49">IFERROR($K49*INDEX(Q$2:Q$9,MATCH(1,($L$2:$L$9=$D49)*($M$2:$M$9=$H49),0)),"")</f>
        <v>2070490.4300845908</v>
      </c>
      <c r="R49" s="657" cm="1">
        <f t="array" ref="R49">IFERROR($K49*INDEX(R$2:R$9,MATCH(1,($L$2:$L$9=$D49)*($M$2:$M$9=$H49),0)),"")</f>
        <v>2081907.8539470532</v>
      </c>
      <c r="S49" s="657" cm="1">
        <f t="array" ref="S49">IFERROR($K49*INDEX(S$2:S$9,MATCH(1,($L$2:$L$9=$D49)*($M$2:$M$9=$H49),0)),"")</f>
        <v>2086644.0549279742</v>
      </c>
      <c r="T49" s="657" cm="1">
        <f t="array" ref="T49">IFERROR($K49*INDEX(T$2:T$9,MATCH(1,($L$2:$L$9=$D49)*($M$2:$M$9=$H49),0)),"")</f>
        <v>2091380.2559088953</v>
      </c>
      <c r="U49" s="680">
        <f t="shared" si="9"/>
        <v>2.7E-2</v>
      </c>
      <c r="V49" s="719">
        <f t="shared" si="10"/>
        <v>53999.153991733343</v>
      </c>
      <c r="W49" s="719">
        <f t="shared" si="1"/>
        <v>55205.706894637282</v>
      </c>
      <c r="X49" s="719">
        <f t="shared" si="2"/>
        <v>55594.971167997457</v>
      </c>
      <c r="Y49" s="719">
        <f t="shared" si="3"/>
        <v>55903.24161228395</v>
      </c>
      <c r="Z49" s="719">
        <f t="shared" si="4"/>
        <v>56211.512056570435</v>
      </c>
      <c r="AA49" s="719">
        <f t="shared" si="5"/>
        <v>56339.389483055304</v>
      </c>
      <c r="AB49" s="719">
        <f t="shared" si="6"/>
        <v>56467.266909540172</v>
      </c>
      <c r="AC49" s="681" t="str">
        <f t="shared" si="18"/>
        <v>TPPUBRTBGS-N</v>
      </c>
    </row>
    <row r="50" spans="1:29" x14ac:dyDescent="0.25">
      <c r="A50" s="227" t="s">
        <v>401</v>
      </c>
      <c r="B50" s="220" t="str">
        <f>VLOOKUP($A50,ITEMS_Tech_N!$D$6:$E$122,2,FALSE)</f>
        <v>Transport Passenger Metro Rail Electricity-N</v>
      </c>
      <c r="C50" s="220" t="s">
        <v>1293</v>
      </c>
      <c r="D50" s="711" t="str">
        <f t="shared" si="8"/>
        <v>Other</v>
      </c>
      <c r="E50" s="220" t="s">
        <v>727</v>
      </c>
      <c r="F50" s="642" t="s">
        <v>856</v>
      </c>
      <c r="G50" s="642" t="s">
        <v>856</v>
      </c>
      <c r="H50" s="220"/>
      <c r="I50" s="683">
        <v>1</v>
      </c>
      <c r="J50" s="683">
        <v>1</v>
      </c>
      <c r="K50" s="656">
        <f t="shared" si="19"/>
        <v>0.88966116420503927</v>
      </c>
      <c r="L50" s="232" t="s">
        <v>1241</v>
      </c>
      <c r="M50" s="220"/>
      <c r="N50" s="682" t="str" cm="1">
        <f t="array" ref="N50">IFERROR($K50*INDEX(N$2:N$9,MATCH(1,($L$2:$L$9=$D50)*($M$2:$M$9=$H50),0)),"")</f>
        <v/>
      </c>
      <c r="O50" s="682" t="str" cm="1">
        <f t="array" ref="O50">IFERROR($K50*INDEX(O$2:O$9,MATCH(1,($L$2:$L$9=$D50)*($M$2:$M$9=$H50),0)),"")</f>
        <v/>
      </c>
      <c r="P50" s="682" t="str" cm="1">
        <f t="array" ref="P50">IFERROR($K50*INDEX(P$2:P$9,MATCH(1,($L$2:$L$9=$D50)*($M$2:$M$9=$H50),0)),"")</f>
        <v/>
      </c>
      <c r="Q50" s="682" t="str" cm="1">
        <f t="array" ref="Q50">IFERROR($K50*INDEX(Q$2:Q$9,MATCH(1,($L$2:$L$9=$D50)*($M$2:$M$9=$H50),0)),"")</f>
        <v/>
      </c>
      <c r="R50" s="682" t="str" cm="1">
        <f t="array" ref="R50">IFERROR($K50*INDEX(R$2:R$9,MATCH(1,($L$2:$L$9=$D50)*($M$2:$M$9=$H50),0)),"")</f>
        <v/>
      </c>
      <c r="S50" s="682" t="str" cm="1">
        <f t="array" ref="S50">IFERROR($K50*INDEX(S$2:S$9,MATCH(1,($L$2:$L$9=$D50)*($M$2:$M$9=$H50),0)),"")</f>
        <v/>
      </c>
      <c r="T50" s="682" t="str" cm="1">
        <f t="array" ref="T50">IFERROR($K50*INDEX(T$2:T$9,MATCH(1,($L$2:$L$9=$D50)*($M$2:$M$9=$H50),0)),"")</f>
        <v/>
      </c>
      <c r="U50" s="680">
        <f t="shared" si="9"/>
        <v>2.7E-2</v>
      </c>
      <c r="V50" s="716"/>
      <c r="W50" s="716"/>
      <c r="X50" s="716"/>
      <c r="Y50" s="716"/>
      <c r="Z50" s="716"/>
      <c r="AA50" s="716"/>
      <c r="AB50" s="716"/>
      <c r="AC50" s="681" t="str">
        <f t="shared" si="18"/>
        <v>TPPUMERELC-N</v>
      </c>
    </row>
    <row r="51" spans="1:29" x14ac:dyDescent="0.25">
      <c r="A51" s="227" t="s">
        <v>402</v>
      </c>
      <c r="B51" s="220" t="str">
        <f>VLOOKUP($A51,ITEMS_Tech_N!$D$6:$E$122,2,FALSE)</f>
        <v>Transport Passenger Gautrain Electricity-N</v>
      </c>
      <c r="C51" s="220" t="s">
        <v>1293</v>
      </c>
      <c r="D51" s="711" t="str">
        <f t="shared" si="8"/>
        <v>Other</v>
      </c>
      <c r="E51" s="220" t="s">
        <v>1265</v>
      </c>
      <c r="F51" s="642" t="s">
        <v>856</v>
      </c>
      <c r="G51" s="642" t="s">
        <v>856</v>
      </c>
      <c r="H51" s="220"/>
      <c r="I51" s="683">
        <v>1</v>
      </c>
      <c r="J51" s="683">
        <v>1</v>
      </c>
      <c r="K51" s="656">
        <f t="shared" si="19"/>
        <v>0.88966116420503927</v>
      </c>
      <c r="L51" s="232" t="s">
        <v>1241</v>
      </c>
      <c r="M51" s="220"/>
      <c r="N51" s="682" t="str" cm="1">
        <f t="array" ref="N51">IFERROR($K51*INDEX(N$2:N$9,MATCH(1,($L$2:$L$9=$D51)*($M$2:$M$9=$H51),0)),"")</f>
        <v/>
      </c>
      <c r="O51" s="682" t="str" cm="1">
        <f t="array" ref="O51">IFERROR($K51*INDEX(O$2:O$9,MATCH(1,($L$2:$L$9=$D51)*($M$2:$M$9=$H51),0)),"")</f>
        <v/>
      </c>
      <c r="P51" s="682" t="str" cm="1">
        <f t="array" ref="P51">IFERROR($K51*INDEX(P$2:P$9,MATCH(1,($L$2:$L$9=$D51)*($M$2:$M$9=$H51),0)),"")</f>
        <v/>
      </c>
      <c r="Q51" s="682" t="str" cm="1">
        <f t="array" ref="Q51">IFERROR($K51*INDEX(Q$2:Q$9,MATCH(1,($L$2:$L$9=$D51)*($M$2:$M$9=$H51),0)),"")</f>
        <v/>
      </c>
      <c r="R51" s="682" t="str" cm="1">
        <f t="array" ref="R51">IFERROR($K51*INDEX(R$2:R$9,MATCH(1,($L$2:$L$9=$D51)*($M$2:$M$9=$H51),0)),"")</f>
        <v/>
      </c>
      <c r="S51" s="682" t="str" cm="1">
        <f t="array" ref="S51">IFERROR($K51*INDEX(S$2:S$9,MATCH(1,($L$2:$L$9=$D51)*($M$2:$M$9=$H51),0)),"")</f>
        <v/>
      </c>
      <c r="T51" s="682" t="str" cm="1">
        <f t="array" ref="T51">IFERROR($K51*INDEX(T$2:T$9,MATCH(1,($L$2:$L$9=$D51)*($M$2:$M$9=$H51),0)),"")</f>
        <v/>
      </c>
      <c r="U51" s="680">
        <f t="shared" si="9"/>
        <v>2.7E-2</v>
      </c>
      <c r="V51" s="716"/>
      <c r="W51" s="716"/>
      <c r="X51" s="716"/>
      <c r="Y51" s="716"/>
      <c r="Z51" s="716"/>
      <c r="AA51" s="716"/>
      <c r="AB51" s="716"/>
      <c r="AC51" s="681" t="str">
        <f t="shared" si="18"/>
        <v>TPPUGATELC-N</v>
      </c>
    </row>
    <row r="52" spans="1:29" x14ac:dyDescent="0.25">
      <c r="A52" s="227" t="s">
        <v>992</v>
      </c>
      <c r="B52" s="220" t="str">
        <f>VLOOKUP($A52,ITEMS_Tech_N!$D$6:$E$122,2,FALSE)</f>
        <v>Transport Freight - LCV Oil Diesel-N</v>
      </c>
      <c r="C52" s="220" t="s">
        <v>1294</v>
      </c>
      <c r="D52" s="711" t="str">
        <f t="shared" si="8"/>
        <v>Other</v>
      </c>
      <c r="E52" s="220" t="s">
        <v>136</v>
      </c>
      <c r="F52" s="220" t="s">
        <v>1110</v>
      </c>
      <c r="G52" s="220" t="s">
        <v>1111</v>
      </c>
      <c r="H52" s="220" t="s">
        <v>326</v>
      </c>
      <c r="I52" s="733">
        <v>455000</v>
      </c>
      <c r="J52" s="733">
        <f>I52/IF(I52&lt;$J$10,_xlfn.FORECAST.LINEAR(I52,$I$9:$I$10,$J$9:$J$10),1.3)</f>
        <v>414276.5410958904</v>
      </c>
      <c r="K52" s="733">
        <f t="shared" si="19"/>
        <v>368565.74985420663</v>
      </c>
      <c r="L52" s="734" t="s">
        <v>1188</v>
      </c>
      <c r="M52" s="734" t="s">
        <v>1193</v>
      </c>
      <c r="N52" s="657" cm="1">
        <f t="array" ref="N52">IFERROR($K52*INDEX(N$2:N$9,MATCH(1,($L$2:$L$9=$D52)*($M$2:$M$9=$H52),0)),"")</f>
        <v>361019.65202613786</v>
      </c>
      <c r="O52" s="657" cm="1">
        <f t="array" ref="O52">IFERROR($K52*INDEX(O$2:O$9,MATCH(1,($L$2:$L$9=$D52)*($M$2:$M$9=$H52),0)),"")</f>
        <v>369086.24709213077</v>
      </c>
      <c r="P52" s="657" cm="1">
        <f t="array" ref="P52">IFERROR($K52*INDEX(P$2:P$9,MATCH(1,($L$2:$L$9=$D52)*($M$2:$M$9=$H52),0)),"")</f>
        <v>371688.73328175169</v>
      </c>
      <c r="Q52" s="657" cm="1">
        <f t="array" ref="Q52">IFERROR($K52*INDEX(Q$2:Q$9,MATCH(1,($L$2:$L$9=$D52)*($M$2:$M$9=$H52),0)),"")</f>
        <v>373749.72276583296</v>
      </c>
      <c r="R52" s="657" cm="1">
        <f t="array" ref="R52">IFERROR($K52*INDEX(R$2:R$9,MATCH(1,($L$2:$L$9=$D52)*($M$2:$M$9=$H52),0)),"")</f>
        <v>375810.7122499143</v>
      </c>
      <c r="S52" s="657" cm="1">
        <f t="array" ref="S52">IFERROR($K52*INDEX(S$2:S$9,MATCH(1,($L$2:$L$9=$D52)*($M$2:$M$9=$H52),0)),"")</f>
        <v>376665.65645920014</v>
      </c>
      <c r="T52" s="657" cm="1">
        <f t="array" ref="T52">IFERROR($K52*INDEX(T$2:T$9,MATCH(1,($L$2:$L$9=$D52)*($M$2:$M$9=$H52),0)),"")</f>
        <v>377520.60066848592</v>
      </c>
      <c r="U52" s="680">
        <f t="shared" si="9"/>
        <v>2.7E-2</v>
      </c>
      <c r="V52" s="719">
        <f t="shared" si="10"/>
        <v>9747.530604705722</v>
      </c>
      <c r="W52" s="719">
        <f t="shared" si="1"/>
        <v>9965.3286714875303</v>
      </c>
      <c r="X52" s="719">
        <f t="shared" si="2"/>
        <v>10035.595798607295</v>
      </c>
      <c r="Y52" s="719">
        <f t="shared" si="3"/>
        <v>10091.242514677489</v>
      </c>
      <c r="Z52" s="719">
        <f t="shared" si="4"/>
        <v>10146.889230747685</v>
      </c>
      <c r="AA52" s="719">
        <f t="shared" si="5"/>
        <v>10169.972724398403</v>
      </c>
      <c r="AB52" s="719">
        <f t="shared" si="6"/>
        <v>10193.05621804912</v>
      </c>
      <c r="AC52" s="681" t="str">
        <f t="shared" si="18"/>
        <v>TFLCVODS-N</v>
      </c>
    </row>
    <row r="53" spans="1:29" x14ac:dyDescent="0.25">
      <c r="A53" s="227" t="s">
        <v>994</v>
      </c>
      <c r="B53" s="220" t="e">
        <f>VLOOKUP($A53,ITEMS_Tech_N!$D$6:$E$122,2,FALSE)</f>
        <v>#N/A</v>
      </c>
      <c r="C53" s="220" t="s">
        <v>1294</v>
      </c>
      <c r="D53" s="711" t="str">
        <f t="shared" si="8"/>
        <v>Other</v>
      </c>
      <c r="E53" s="220" t="s">
        <v>136</v>
      </c>
      <c r="F53" s="220" t="s">
        <v>1110</v>
      </c>
      <c r="G53" s="220" t="s">
        <v>1113</v>
      </c>
      <c r="H53" s="220" t="s">
        <v>1219</v>
      </c>
      <c r="I53" s="656"/>
      <c r="J53" s="658">
        <f>J52*J16/J14</f>
        <v>476239.14246826165</v>
      </c>
      <c r="K53" s="656">
        <f t="shared" si="19"/>
        <v>423691.46992832323</v>
      </c>
      <c r="L53" s="659" t="s">
        <v>1199</v>
      </c>
      <c r="M53" s="659" t="s">
        <v>1206</v>
      </c>
      <c r="N53" s="657" cm="1">
        <f t="array" ref="N53">IFERROR($K53*INDEX(N$2:N$9,MATCH(1,($L$2:$L$9=$D53)*($M$2:$M$9=$H53),0)),"")</f>
        <v>451586.75564984157</v>
      </c>
      <c r="O53" s="657" cm="1">
        <f t="array" ref="O53">IFERROR($K53*INDEX(O$2:O$9,MATCH(1,($L$2:$L$9=$D53)*($M$2:$M$9=$H53),0)),"")</f>
        <v>436402.21402617294</v>
      </c>
      <c r="P53" s="657" cm="1">
        <f t="array" ref="P53">IFERROR($K53*INDEX(P$2:P$9,MATCH(1,($L$2:$L$9=$D53)*($M$2:$M$9=$H53),0)),"")</f>
        <v>422844.08698846656</v>
      </c>
      <c r="Q53" s="657" cm="1">
        <f t="array" ref="Q53">IFERROR($K53*INDEX(Q$2:Q$9,MATCH(1,($L$2:$L$9=$D53)*($M$2:$M$9=$H53),0)),"")</f>
        <v>413099.18318011513</v>
      </c>
      <c r="R53" s="657" cm="1">
        <f t="array" ref="R53">IFERROR($K53*INDEX(R$2:R$9,MATCH(1,($L$2:$L$9=$D53)*($M$2:$M$9=$H53),0)),"")</f>
        <v>407170.48970112938</v>
      </c>
      <c r="S53" s="657" cm="1">
        <f t="array" ref="S53">IFERROR($K53*INDEX(S$2:S$9,MATCH(1,($L$2:$L$9=$D53)*($M$2:$M$9=$H53),0)),"")</f>
        <v>404668.03591758996</v>
      </c>
      <c r="T53" s="657" cm="1">
        <f t="array" ref="T53">IFERROR($K53*INDEX(T$2:T$9,MATCH(1,($L$2:$L$9=$D53)*($M$2:$M$9=$H53),0)),"")</f>
        <v>402165.58213405061</v>
      </c>
      <c r="U53" s="680">
        <f t="shared" si="9"/>
        <v>2.7E-2</v>
      </c>
      <c r="V53" s="719">
        <f t="shared" si="10"/>
        <v>12192.842402545723</v>
      </c>
      <c r="W53" s="719">
        <f t="shared" si="1"/>
        <v>11782.859778706668</v>
      </c>
      <c r="X53" s="719">
        <f t="shared" si="2"/>
        <v>11416.790348688597</v>
      </c>
      <c r="Y53" s="719">
        <f t="shared" si="3"/>
        <v>11153.677945863108</v>
      </c>
      <c r="Z53" s="719">
        <f t="shared" si="4"/>
        <v>10993.603221930493</v>
      </c>
      <c r="AA53" s="719">
        <f t="shared" si="5"/>
        <v>10926.036969774928</v>
      </c>
      <c r="AB53" s="719">
        <f t="shared" si="6"/>
        <v>10858.470717619366</v>
      </c>
      <c r="AC53" s="681" t="str">
        <f t="shared" si="18"/>
        <v>TFLCVODSH-N</v>
      </c>
    </row>
    <row r="54" spans="1:29" x14ac:dyDescent="0.25">
      <c r="A54" s="227" t="s">
        <v>996</v>
      </c>
      <c r="B54" s="220" t="str">
        <f>VLOOKUP($A54,ITEMS_Tech_N!$D$6:$E$122,2,FALSE)</f>
        <v>Transport Freight - LCV Oil Gasoline-N</v>
      </c>
      <c r="C54" s="220" t="s">
        <v>1294</v>
      </c>
      <c r="D54" s="711" t="str">
        <f t="shared" si="8"/>
        <v>Other</v>
      </c>
      <c r="E54" s="220" t="s">
        <v>136</v>
      </c>
      <c r="F54" s="220" t="s">
        <v>1110</v>
      </c>
      <c r="G54" s="220" t="s">
        <v>1112</v>
      </c>
      <c r="H54" s="220" t="s">
        <v>326</v>
      </c>
      <c r="I54" s="733">
        <v>400000</v>
      </c>
      <c r="J54" s="733">
        <f>I54/IF(I54&lt;$J$10,_xlfn.FORECAST.LINEAR(I54,$I$9:$I$10,$J$9:$J$10),1.3)</f>
        <v>368605.23246125644</v>
      </c>
      <c r="K54" s="733">
        <f t="shared" si="19"/>
        <v>327933.76024355053</v>
      </c>
      <c r="L54" s="734" t="s">
        <v>1340</v>
      </c>
      <c r="M54" s="734" t="s">
        <v>1339</v>
      </c>
      <c r="N54" s="657" cm="1">
        <f t="array" ref="N54">IFERROR($K54*INDEX(N$2:N$9,MATCH(1,($L$2:$L$9=$D54)*($M$2:$M$9=$H54),0)),"")</f>
        <v>321219.57088411285</v>
      </c>
      <c r="O54" s="657" cm="1">
        <f t="array" ref="O54">IFERROR($K54*INDEX(O$2:O$9,MATCH(1,($L$2:$L$9=$D54)*($M$2:$M$9=$H54),0)),"")</f>
        <v>328396.87602817337</v>
      </c>
      <c r="P54" s="657" cm="1">
        <f t="array" ref="P54">IFERROR($K54*INDEX(P$2:P$9,MATCH(1,($L$2:$L$9=$D54)*($M$2:$M$9=$H54),0)),"")</f>
        <v>330712.45495128789</v>
      </c>
      <c r="Q54" s="657" cm="1">
        <f t="array" ref="Q54">IFERROR($K54*INDEX(Q$2:Q$9,MATCH(1,($L$2:$L$9=$D54)*($M$2:$M$9=$H54),0)),"")</f>
        <v>332546.23367761978</v>
      </c>
      <c r="R54" s="657" cm="1">
        <f t="array" ref="R54">IFERROR($K54*INDEX(R$2:R$9,MATCH(1,($L$2:$L$9=$D54)*($M$2:$M$9=$H54),0)),"")</f>
        <v>334380.01240395167</v>
      </c>
      <c r="S54" s="657" cm="1">
        <f t="array" ref="S54">IFERROR($K54*INDEX(S$2:S$9,MATCH(1,($L$2:$L$9=$D54)*($M$2:$M$9=$H54),0)),"")</f>
        <v>335140.7045449345</v>
      </c>
      <c r="T54" s="657" cm="1">
        <f t="array" ref="T54">IFERROR($K54*INDEX(T$2:T$9,MATCH(1,($L$2:$L$9=$D54)*($M$2:$M$9=$H54),0)),"")</f>
        <v>335901.39668591734</v>
      </c>
      <c r="U54" s="680">
        <f t="shared" si="9"/>
        <v>2.7E-2</v>
      </c>
      <c r="V54" s="719">
        <f t="shared" si="10"/>
        <v>8672.9284138710464</v>
      </c>
      <c r="W54" s="719">
        <f t="shared" si="1"/>
        <v>8866.7156527606803</v>
      </c>
      <c r="X54" s="719">
        <f t="shared" si="2"/>
        <v>8929.2362836847733</v>
      </c>
      <c r="Y54" s="719">
        <f t="shared" si="3"/>
        <v>8978.7483092957336</v>
      </c>
      <c r="Z54" s="719">
        <f t="shared" si="4"/>
        <v>9028.2603349066958</v>
      </c>
      <c r="AA54" s="719">
        <f t="shared" si="5"/>
        <v>9048.7990227132323</v>
      </c>
      <c r="AB54" s="719">
        <f t="shared" si="6"/>
        <v>9069.3377105197687</v>
      </c>
      <c r="AC54" s="681" t="str">
        <f t="shared" si="18"/>
        <v>TFLCVOGS-N</v>
      </c>
    </row>
    <row r="55" spans="1:29" x14ac:dyDescent="0.25">
      <c r="A55" s="227" t="s">
        <v>998</v>
      </c>
      <c r="B55" s="220" t="str">
        <f>VLOOKUP($A55,ITEMS_Tech_N!$D$6:$E$122,2,FALSE)</f>
        <v>Transport Freight - LCV Oil GasolineHybrid-N</v>
      </c>
      <c r="C55" s="220" t="s">
        <v>1294</v>
      </c>
      <c r="D55" s="711" t="str">
        <f t="shared" si="8"/>
        <v>Other</v>
      </c>
      <c r="E55" s="220" t="s">
        <v>136</v>
      </c>
      <c r="F55" s="220" t="s">
        <v>1110</v>
      </c>
      <c r="G55" s="220" t="s">
        <v>1114</v>
      </c>
      <c r="H55" s="220" t="s">
        <v>1219</v>
      </c>
      <c r="I55" s="656"/>
      <c r="J55" s="733"/>
      <c r="K55" s="733">
        <f>K52*1.25</f>
        <v>460707.18731775827</v>
      </c>
      <c r="L55" s="734" t="s">
        <v>1199</v>
      </c>
      <c r="M55" s="734" t="s">
        <v>1241</v>
      </c>
      <c r="N55" s="657" cm="1">
        <f t="array" ref="N55">IFERROR($K55*INDEX(N$2:N$9,MATCH(1,($L$2:$L$9=$D55)*($M$2:$M$9=$H55),0)),"")</f>
        <v>491039.53889037797</v>
      </c>
      <c r="O55" s="657" cm="1">
        <f t="array" ref="O55">IFERROR($K55*INDEX(O$2:O$9,MATCH(1,($L$2:$L$9=$D55)*($M$2:$M$9=$H55),0)),"")</f>
        <v>474528.40293729102</v>
      </c>
      <c r="P55" s="657" cm="1">
        <f t="array" ref="P55">IFERROR($K55*INDEX(P$2:P$9,MATCH(1,($L$2:$L$9=$D55)*($M$2:$M$9=$H55),0)),"")</f>
        <v>459785.77294312278</v>
      </c>
      <c r="Q55" s="657" cm="1">
        <f t="array" ref="Q55">IFERROR($K55*INDEX(Q$2:Q$9,MATCH(1,($L$2:$L$9=$D55)*($M$2:$M$9=$H55),0)),"")</f>
        <v>449189.5076348143</v>
      </c>
      <c r="R55" s="657" cm="1">
        <f t="array" ref="R55">IFERROR($K55*INDEX(R$2:R$9,MATCH(1,($L$2:$L$9=$D55)*($M$2:$M$9=$H55),0)),"")</f>
        <v>442742.85507974931</v>
      </c>
      <c r="S55" s="657" cm="1">
        <f t="array" ref="S55">IFERROR($K55*INDEX(S$2:S$9,MATCH(1,($L$2:$L$9=$D55)*($M$2:$M$9=$H55),0)),"")</f>
        <v>440021.77494046267</v>
      </c>
      <c r="T55" s="657" cm="1">
        <f t="array" ref="T55">IFERROR($K55*INDEX(T$2:T$9,MATCH(1,($L$2:$L$9=$D55)*($M$2:$M$9=$H55),0)),"")</f>
        <v>437300.69480117608</v>
      </c>
      <c r="U55" s="680">
        <f t="shared" si="9"/>
        <v>2.7E-2</v>
      </c>
      <c r="V55" s="719">
        <f t="shared" si="10"/>
        <v>13258.067550040205</v>
      </c>
      <c r="W55" s="719">
        <f t="shared" si="1"/>
        <v>12812.266879306857</v>
      </c>
      <c r="X55" s="719">
        <f t="shared" si="2"/>
        <v>12414.215869464315</v>
      </c>
      <c r="Y55" s="719">
        <f t="shared" si="3"/>
        <v>12128.116706139986</v>
      </c>
      <c r="Z55" s="719">
        <f t="shared" si="4"/>
        <v>11954.057087153231</v>
      </c>
      <c r="AA55" s="719">
        <f t="shared" si="5"/>
        <v>11880.587923392492</v>
      </c>
      <c r="AB55" s="719">
        <f t="shared" si="6"/>
        <v>11807.118759631754</v>
      </c>
      <c r="AC55" s="681" t="str">
        <f t="shared" si="18"/>
        <v>TFLCVOGSH-N</v>
      </c>
    </row>
    <row r="56" spans="1:29" x14ac:dyDescent="0.25">
      <c r="A56" s="227" t="s">
        <v>1000</v>
      </c>
      <c r="B56" s="220" t="e">
        <f>VLOOKUP($A56,ITEMS_Tech_N!$D$6:$E$122,2,FALSE)</f>
        <v>#N/A</v>
      </c>
      <c r="C56" s="220" t="s">
        <v>1294</v>
      </c>
      <c r="D56" s="711" t="str">
        <f t="shared" si="8"/>
        <v>Other</v>
      </c>
      <c r="E56" s="220" t="s">
        <v>136</v>
      </c>
      <c r="F56" s="220" t="s">
        <v>1110</v>
      </c>
      <c r="G56" s="220" t="s">
        <v>1115</v>
      </c>
      <c r="H56" s="220" t="s">
        <v>326</v>
      </c>
      <c r="I56" s="656"/>
      <c r="J56" s="661" t="s">
        <v>504</v>
      </c>
      <c r="K56" s="656" t="str">
        <f t="shared" si="19"/>
        <v/>
      </c>
      <c r="L56" s="220"/>
      <c r="M56" s="220"/>
      <c r="N56" s="657" t="str" cm="1">
        <f t="array" ref="N56">IFERROR($K56*INDEX(N$2:N$9,MATCH(1,($L$2:$L$9=$D56)*($M$2:$M$9=$H56),0)),"")</f>
        <v/>
      </c>
      <c r="O56" s="657" t="str" cm="1">
        <f t="array" ref="O56">IFERROR($K56*INDEX(O$2:O$9,MATCH(1,($L$2:$L$9=$D56)*($M$2:$M$9=$H56),0)),"")</f>
        <v/>
      </c>
      <c r="P56" s="657" t="str" cm="1">
        <f t="array" ref="P56">IFERROR($K56*INDEX(P$2:P$9,MATCH(1,($L$2:$L$9=$D56)*($M$2:$M$9=$H56),0)),"")</f>
        <v/>
      </c>
      <c r="Q56" s="657" t="str" cm="1">
        <f t="array" ref="Q56">IFERROR($K56*INDEX(Q$2:Q$9,MATCH(1,($L$2:$L$9=$D56)*($M$2:$M$9=$H56),0)),"")</f>
        <v/>
      </c>
      <c r="R56" s="657" t="str" cm="1">
        <f t="array" ref="R56">IFERROR($K56*INDEX(R$2:R$9,MATCH(1,($L$2:$L$9=$D56)*($M$2:$M$9=$H56),0)),"")</f>
        <v/>
      </c>
      <c r="S56" s="657" t="str" cm="1">
        <f t="array" ref="S56">IFERROR($K56*INDEX(S$2:S$9,MATCH(1,($L$2:$L$9=$D56)*($M$2:$M$9=$H56),0)),"")</f>
        <v/>
      </c>
      <c r="T56" s="657" t="str" cm="1">
        <f t="array" ref="T56">IFERROR($K56*INDEX(T$2:T$9,MATCH(1,($L$2:$L$9=$D56)*($M$2:$M$9=$H56),0)),"")</f>
        <v/>
      </c>
      <c r="U56" s="680">
        <f t="shared" si="9"/>
        <v>2.7E-2</v>
      </c>
      <c r="V56" s="719" t="str">
        <f t="shared" si="10"/>
        <v/>
      </c>
      <c r="W56" s="719" t="str">
        <f t="shared" si="1"/>
        <v/>
      </c>
      <c r="X56" s="719" t="str">
        <f t="shared" si="2"/>
        <v/>
      </c>
      <c r="Y56" s="719" t="str">
        <f t="shared" si="3"/>
        <v/>
      </c>
      <c r="Z56" s="719" t="str">
        <f t="shared" si="4"/>
        <v/>
      </c>
      <c r="AA56" s="719" t="str">
        <f t="shared" si="5"/>
        <v/>
      </c>
      <c r="AB56" s="719" t="str">
        <f t="shared" si="6"/>
        <v/>
      </c>
      <c r="AC56" s="681" t="str">
        <f t="shared" si="18"/>
        <v>TFLCVGAS-N</v>
      </c>
    </row>
    <row r="57" spans="1:29" x14ac:dyDescent="0.25">
      <c r="A57" s="227" t="s">
        <v>1002</v>
      </c>
      <c r="B57" s="220" t="str">
        <f>VLOOKUP($A57,ITEMS_Tech_N!$D$6:$E$122,2,FALSE)</f>
        <v>Transport Freight - LCV Electricity-N</v>
      </c>
      <c r="C57" s="220" t="s">
        <v>1294</v>
      </c>
      <c r="D57" s="711" t="str">
        <f t="shared" si="8"/>
        <v>Other</v>
      </c>
      <c r="E57" s="220" t="s">
        <v>136</v>
      </c>
      <c r="F57" s="220" t="s">
        <v>1110</v>
      </c>
      <c r="G57" s="220" t="s">
        <v>1117</v>
      </c>
      <c r="H57" s="220" t="s">
        <v>1117</v>
      </c>
      <c r="I57" s="656">
        <f>800000*0.85</f>
        <v>680000</v>
      </c>
      <c r="J57" s="656">
        <f>I57</f>
        <v>680000</v>
      </c>
      <c r="K57" s="656">
        <f t="shared" si="19"/>
        <v>604969.59165942669</v>
      </c>
      <c r="L57" s="220" t="s">
        <v>1191</v>
      </c>
      <c r="M57" s="220" t="s">
        <v>1192</v>
      </c>
      <c r="N57" s="657" cm="1">
        <f t="array" ref="N57">IFERROR($K57*INDEX(N$2:N$9,MATCH(1,($L$2:$L$9=$D57)*($M$2:$M$9=$H57),0)),"")</f>
        <v>693908.66884754365</v>
      </c>
      <c r="O57" s="657" cm="1">
        <f t="array" ref="O57">IFERROR($K57*INDEX(O$2:O$9,MATCH(1,($L$2:$L$9=$D57)*($M$2:$M$9=$H57),0)),"")</f>
        <v>544611.98351626005</v>
      </c>
      <c r="P57" s="657" cm="1">
        <f t="array" ref="P57">IFERROR($K57*INDEX(P$2:P$9,MATCH(1,($L$2:$L$9=$D57)*($M$2:$M$9=$H57),0)),"")</f>
        <v>440711.19240864675</v>
      </c>
      <c r="Q57" s="657" cm="1">
        <f t="array" ref="Q57">IFERROR($K57*INDEX(Q$2:Q$9,MATCH(1,($L$2:$L$9=$D57)*($M$2:$M$9=$H57),0)),"")</f>
        <v>416117.15602758364</v>
      </c>
      <c r="R57" s="657" cm="1">
        <f t="array" ref="R57">IFERROR($K57*INDEX(R$2:R$9,MATCH(1,($L$2:$L$9=$D57)*($M$2:$M$9=$H57),0)),"")</f>
        <v>391523.11964652088</v>
      </c>
      <c r="S57" s="657" cm="1">
        <f t="array" ref="S57">IFERROR($K57*INDEX(S$2:S$9,MATCH(1,($L$2:$L$9=$D57)*($M$2:$M$9=$H57),0)),"")</f>
        <v>384220.73241900938</v>
      </c>
      <c r="T57" s="657" cm="1">
        <f t="array" ref="T57">IFERROR($K57*INDEX(T$2:T$9,MATCH(1,($L$2:$L$9=$D57)*($M$2:$M$9=$H57),0)),"")</f>
        <v>376918.34519149794</v>
      </c>
      <c r="U57" s="680">
        <f t="shared" si="9"/>
        <v>1.9E-2</v>
      </c>
      <c r="V57" s="719">
        <f t="shared" si="10"/>
        <v>13184.264708103328</v>
      </c>
      <c r="W57" s="719">
        <f t="shared" si="1"/>
        <v>10347.627686808941</v>
      </c>
      <c r="X57" s="719">
        <f t="shared" si="2"/>
        <v>8373.5126557642889</v>
      </c>
      <c r="Y57" s="719">
        <f t="shared" si="3"/>
        <v>7906.2259645240892</v>
      </c>
      <c r="Z57" s="719">
        <f t="shared" si="4"/>
        <v>7438.9392732838969</v>
      </c>
      <c r="AA57" s="719">
        <f t="shared" si="5"/>
        <v>7300.1939159611784</v>
      </c>
      <c r="AB57" s="719">
        <f t="shared" si="6"/>
        <v>7161.4485586384608</v>
      </c>
      <c r="AC57" s="681" t="str">
        <f t="shared" si="18"/>
        <v>TFLCVELC-N</v>
      </c>
    </row>
    <row r="58" spans="1:29" x14ac:dyDescent="0.25">
      <c r="A58" s="227" t="s">
        <v>1004</v>
      </c>
      <c r="B58" s="220" t="str">
        <f>VLOOKUP($A58,ITEMS_Tech_N!$D$6:$E$122,2,FALSE)</f>
        <v>Transport Freight - HCV1 Oil Diesel-N</v>
      </c>
      <c r="C58" s="220" t="s">
        <v>1294</v>
      </c>
      <c r="D58" s="711" t="str">
        <f t="shared" si="8"/>
        <v>Other</v>
      </c>
      <c r="E58" s="220" t="s">
        <v>1267</v>
      </c>
      <c r="F58" s="220" t="s">
        <v>1120</v>
      </c>
      <c r="G58" s="220" t="s">
        <v>1111</v>
      </c>
      <c r="H58" s="220" t="s">
        <v>326</v>
      </c>
      <c r="I58" s="656">
        <v>560000</v>
      </c>
      <c r="J58" s="656">
        <f>I58/IF(I58&lt;$J$10,_xlfn.FORECAST.LINEAR(I58,$I$9:$I$10,$J$9:$J$10),1.3)</f>
        <v>498502.94581629691</v>
      </c>
      <c r="K58" s="656">
        <f t="shared" si="19"/>
        <v>443498.71113456832</v>
      </c>
      <c r="L58" s="220" t="s">
        <v>1196</v>
      </c>
      <c r="M58" s="220" t="s">
        <v>1197</v>
      </c>
      <c r="N58" s="657" cm="1">
        <f t="array" ref="N58">IFERROR($K58*INDEX(N$2:N$9,MATCH(1,($L$2:$L$9=$D58)*($M$2:$M$9=$H58),0)),"")</f>
        <v>434418.41905054339</v>
      </c>
      <c r="O58" s="657" cm="1">
        <f t="array" ref="O58">IFERROR($K58*INDEX(O$2:O$9,MATCH(1,($L$2:$L$9=$D58)*($M$2:$M$9=$H58),0)),"")</f>
        <v>444125.03046635585</v>
      </c>
      <c r="P58" s="657" cm="1">
        <f t="array" ref="P58">IFERROR($K58*INDEX(P$2:P$9,MATCH(1,($L$2:$L$9=$D58)*($M$2:$M$9=$H58),0)),"")</f>
        <v>447256.62712529377</v>
      </c>
      <c r="Q58" s="657" cm="1">
        <f t="array" ref="Q58">IFERROR($K58*INDEX(Q$2:Q$9,MATCH(1,($L$2:$L$9=$D58)*($M$2:$M$9=$H58),0)),"")</f>
        <v>449736.63559111982</v>
      </c>
      <c r="R58" s="657" cm="1">
        <f t="array" ref="R58">IFERROR($K58*INDEX(R$2:R$9,MATCH(1,($L$2:$L$9=$D58)*($M$2:$M$9=$H58),0)),"")</f>
        <v>452216.64405694592</v>
      </c>
      <c r="S58" s="657" cm="1">
        <f t="array" ref="S58">IFERROR($K58*INDEX(S$2:S$9,MATCH(1,($L$2:$L$9=$D58)*($M$2:$M$9=$H58),0)),"")</f>
        <v>453245.4066456026</v>
      </c>
      <c r="T58" s="657" cm="1">
        <f t="array" ref="T58">IFERROR($K58*INDEX(T$2:T$9,MATCH(1,($L$2:$L$9=$D58)*($M$2:$M$9=$H58),0)),"")</f>
        <v>454274.16923425935</v>
      </c>
      <c r="U58" s="680">
        <f t="shared" si="9"/>
        <v>2.7E-2</v>
      </c>
      <c r="V58" s="719">
        <f t="shared" si="10"/>
        <v>11729.297314364672</v>
      </c>
      <c r="W58" s="719">
        <f t="shared" si="1"/>
        <v>11991.375822591608</v>
      </c>
      <c r="X58" s="719">
        <f t="shared" si="2"/>
        <v>12075.928932382933</v>
      </c>
      <c r="Y58" s="719">
        <f t="shared" si="3"/>
        <v>12142.889160960234</v>
      </c>
      <c r="Z58" s="719">
        <f t="shared" si="4"/>
        <v>12209.84938953754</v>
      </c>
      <c r="AA58" s="719">
        <f t="shared" si="5"/>
        <v>12237.62597943127</v>
      </c>
      <c r="AB58" s="719">
        <f t="shared" si="6"/>
        <v>12265.402569325002</v>
      </c>
      <c r="AC58" s="681" t="str">
        <f t="shared" si="18"/>
        <v>TFHCV1ODS-N</v>
      </c>
    </row>
    <row r="59" spans="1:29" x14ac:dyDescent="0.25">
      <c r="A59" s="227" t="s">
        <v>1006</v>
      </c>
      <c r="B59" s="220" t="str">
        <f>VLOOKUP($A59,ITEMS_Tech_N!$D$6:$E$122,2,FALSE)</f>
        <v>Transport Freight - HCV1 Oil Gasoline-N</v>
      </c>
      <c r="C59" s="220" t="s">
        <v>1294</v>
      </c>
      <c r="D59" s="711" t="str">
        <f t="shared" si="8"/>
        <v>Other</v>
      </c>
      <c r="E59" s="220" t="s">
        <v>1267</v>
      </c>
      <c r="F59" s="220" t="s">
        <v>1120</v>
      </c>
      <c r="G59" s="220" t="s">
        <v>1112</v>
      </c>
      <c r="H59" s="220" t="s">
        <v>326</v>
      </c>
      <c r="I59" s="220"/>
      <c r="J59" s="658">
        <f>J58</f>
        <v>498502.94581629691</v>
      </c>
      <c r="K59" s="656">
        <f t="shared" si="19"/>
        <v>443498.71113456832</v>
      </c>
      <c r="L59" s="659" t="s">
        <v>1199</v>
      </c>
      <c r="M59" s="659" t="s">
        <v>1207</v>
      </c>
      <c r="N59" s="657" cm="1">
        <f t="array" ref="N59">IFERROR($K59*INDEX(N$2:N$9,MATCH(1,($L$2:$L$9=$D59)*($M$2:$M$9=$H59),0)),"")</f>
        <v>434418.41905054339</v>
      </c>
      <c r="O59" s="657" cm="1">
        <f t="array" ref="O59">IFERROR($K59*INDEX(O$2:O$9,MATCH(1,($L$2:$L$9=$D59)*($M$2:$M$9=$H59),0)),"")</f>
        <v>444125.03046635585</v>
      </c>
      <c r="P59" s="657" cm="1">
        <f t="array" ref="P59">IFERROR($K59*INDEX(P$2:P$9,MATCH(1,($L$2:$L$9=$D59)*($M$2:$M$9=$H59),0)),"")</f>
        <v>447256.62712529377</v>
      </c>
      <c r="Q59" s="657" cm="1">
        <f t="array" ref="Q59">IFERROR($K59*INDEX(Q$2:Q$9,MATCH(1,($L$2:$L$9=$D59)*($M$2:$M$9=$H59),0)),"")</f>
        <v>449736.63559111982</v>
      </c>
      <c r="R59" s="657" cm="1">
        <f t="array" ref="R59">IFERROR($K59*INDEX(R$2:R$9,MATCH(1,($L$2:$L$9=$D59)*($M$2:$M$9=$H59),0)),"")</f>
        <v>452216.64405694592</v>
      </c>
      <c r="S59" s="657" cm="1">
        <f t="array" ref="S59">IFERROR($K59*INDEX(S$2:S$9,MATCH(1,($L$2:$L$9=$D59)*($M$2:$M$9=$H59),0)),"")</f>
        <v>453245.4066456026</v>
      </c>
      <c r="T59" s="657" cm="1">
        <f t="array" ref="T59">IFERROR($K59*INDEX(T$2:T$9,MATCH(1,($L$2:$L$9=$D59)*($M$2:$M$9=$H59),0)),"")</f>
        <v>454274.16923425935</v>
      </c>
      <c r="U59" s="680">
        <f t="shared" si="9"/>
        <v>2.7E-2</v>
      </c>
      <c r="V59" s="719">
        <f t="shared" si="10"/>
        <v>11729.297314364672</v>
      </c>
      <c r="W59" s="719">
        <f t="shared" si="1"/>
        <v>11991.375822591608</v>
      </c>
      <c r="X59" s="719">
        <f t="shared" si="2"/>
        <v>12075.928932382933</v>
      </c>
      <c r="Y59" s="719">
        <f t="shared" si="3"/>
        <v>12142.889160960234</v>
      </c>
      <c r="Z59" s="719">
        <f t="shared" si="4"/>
        <v>12209.84938953754</v>
      </c>
      <c r="AA59" s="719">
        <f t="shared" si="5"/>
        <v>12237.62597943127</v>
      </c>
      <c r="AB59" s="719">
        <f t="shared" si="6"/>
        <v>12265.402569325002</v>
      </c>
      <c r="AC59" s="681" t="str">
        <f t="shared" si="18"/>
        <v>TFHCV1OGS-N</v>
      </c>
    </row>
    <row r="60" spans="1:29" x14ac:dyDescent="0.25">
      <c r="A60" s="227" t="s">
        <v>1008</v>
      </c>
      <c r="B60" s="220" t="str">
        <f>VLOOKUP($A60,ITEMS_Tech_N!$D$6:$E$122,2,FALSE)</f>
        <v>Transport Freight - HCV2 Oil Diesel-N</v>
      </c>
      <c r="C60" s="220" t="s">
        <v>1294</v>
      </c>
      <c r="D60" s="711" t="str">
        <f t="shared" si="8"/>
        <v>Other</v>
      </c>
      <c r="E60" s="220" t="s">
        <v>1268</v>
      </c>
      <c r="F60" s="220" t="s">
        <v>1120</v>
      </c>
      <c r="G60" s="220" t="s">
        <v>1111</v>
      </c>
      <c r="H60" s="220" t="s">
        <v>326</v>
      </c>
      <c r="I60" s="656"/>
      <c r="J60" s="658">
        <f>J58</f>
        <v>498502.94581629691</v>
      </c>
      <c r="K60" s="656">
        <f t="shared" si="19"/>
        <v>443498.71113456832</v>
      </c>
      <c r="L60" s="659" t="s">
        <v>1199</v>
      </c>
      <c r="M60" s="659" t="s">
        <v>1208</v>
      </c>
      <c r="N60" s="657" cm="1">
        <f t="array" ref="N60">IFERROR($K60*INDEX(N$2:N$9,MATCH(1,($L$2:$L$9=$D60)*($M$2:$M$9=$H60),0)),"")</f>
        <v>434418.41905054339</v>
      </c>
      <c r="O60" s="657" cm="1">
        <f t="array" ref="O60">IFERROR($K60*INDEX(O$2:O$9,MATCH(1,($L$2:$L$9=$D60)*($M$2:$M$9=$H60),0)),"")</f>
        <v>444125.03046635585</v>
      </c>
      <c r="P60" s="657" cm="1">
        <f t="array" ref="P60">IFERROR($K60*INDEX(P$2:P$9,MATCH(1,($L$2:$L$9=$D60)*($M$2:$M$9=$H60),0)),"")</f>
        <v>447256.62712529377</v>
      </c>
      <c r="Q60" s="657" cm="1">
        <f t="array" ref="Q60">IFERROR($K60*INDEX(Q$2:Q$9,MATCH(1,($L$2:$L$9=$D60)*($M$2:$M$9=$H60),0)),"")</f>
        <v>449736.63559111982</v>
      </c>
      <c r="R60" s="657" cm="1">
        <f t="array" ref="R60">IFERROR($K60*INDEX(R$2:R$9,MATCH(1,($L$2:$L$9=$D60)*($M$2:$M$9=$H60),0)),"")</f>
        <v>452216.64405694592</v>
      </c>
      <c r="S60" s="657" cm="1">
        <f t="array" ref="S60">IFERROR($K60*INDEX(S$2:S$9,MATCH(1,($L$2:$L$9=$D60)*($M$2:$M$9=$H60),0)),"")</f>
        <v>453245.4066456026</v>
      </c>
      <c r="T60" s="657" cm="1">
        <f t="array" ref="T60">IFERROR($K60*INDEX(T$2:T$9,MATCH(1,($L$2:$L$9=$D60)*($M$2:$M$9=$H60),0)),"")</f>
        <v>454274.16923425935</v>
      </c>
      <c r="U60" s="680">
        <f t="shared" si="9"/>
        <v>2.7E-2</v>
      </c>
      <c r="V60" s="719">
        <f t="shared" si="10"/>
        <v>11729.297314364672</v>
      </c>
      <c r="W60" s="719">
        <f t="shared" si="1"/>
        <v>11991.375822591608</v>
      </c>
      <c r="X60" s="719">
        <f t="shared" si="2"/>
        <v>12075.928932382933</v>
      </c>
      <c r="Y60" s="719">
        <f t="shared" si="3"/>
        <v>12142.889160960234</v>
      </c>
      <c r="Z60" s="719">
        <f t="shared" si="4"/>
        <v>12209.84938953754</v>
      </c>
      <c r="AA60" s="719">
        <f t="shared" si="5"/>
        <v>12237.62597943127</v>
      </c>
      <c r="AB60" s="719">
        <f t="shared" si="6"/>
        <v>12265.402569325002</v>
      </c>
      <c r="AC60" s="681" t="str">
        <f t="shared" si="18"/>
        <v>TFHCV2ODS-N</v>
      </c>
    </row>
    <row r="61" spans="1:29" x14ac:dyDescent="0.25">
      <c r="A61" s="227" t="s">
        <v>1010</v>
      </c>
      <c r="B61" s="220" t="str">
        <f>VLOOKUP($A61,ITEMS_Tech_N!$D$6:$E$122,2,FALSE)</f>
        <v>Transport Freight - HCV3 Oil Diesel-N</v>
      </c>
      <c r="C61" s="220" t="s">
        <v>1294</v>
      </c>
      <c r="D61" s="711" t="str">
        <f t="shared" si="8"/>
        <v>Other</v>
      </c>
      <c r="E61" s="220" t="s">
        <v>1269</v>
      </c>
      <c r="F61" s="220" t="s">
        <v>1120</v>
      </c>
      <c r="G61" s="220" t="s">
        <v>1111</v>
      </c>
      <c r="H61" s="220" t="s">
        <v>326</v>
      </c>
      <c r="I61" s="656"/>
      <c r="J61" s="658">
        <f>J58</f>
        <v>498502.94581629691</v>
      </c>
      <c r="K61" s="656">
        <f t="shared" si="19"/>
        <v>443498.71113456832</v>
      </c>
      <c r="L61" s="659" t="s">
        <v>1199</v>
      </c>
      <c r="M61" s="659" t="s">
        <v>1208</v>
      </c>
      <c r="N61" s="657" cm="1">
        <f t="array" ref="N61">IFERROR($K61*INDEX(N$2:N$9,MATCH(1,($L$2:$L$9=$D61)*($M$2:$M$9=$H61),0)),"")</f>
        <v>434418.41905054339</v>
      </c>
      <c r="O61" s="657" cm="1">
        <f t="array" ref="O61">IFERROR($K61*INDEX(O$2:O$9,MATCH(1,($L$2:$L$9=$D61)*($M$2:$M$9=$H61),0)),"")</f>
        <v>444125.03046635585</v>
      </c>
      <c r="P61" s="657" cm="1">
        <f t="array" ref="P61">IFERROR($K61*INDEX(P$2:P$9,MATCH(1,($L$2:$L$9=$D61)*($M$2:$M$9=$H61),0)),"")</f>
        <v>447256.62712529377</v>
      </c>
      <c r="Q61" s="657" cm="1">
        <f t="array" ref="Q61">IFERROR($K61*INDEX(Q$2:Q$9,MATCH(1,($L$2:$L$9=$D61)*($M$2:$M$9=$H61),0)),"")</f>
        <v>449736.63559111982</v>
      </c>
      <c r="R61" s="657" cm="1">
        <f t="array" ref="R61">IFERROR($K61*INDEX(R$2:R$9,MATCH(1,($L$2:$L$9=$D61)*($M$2:$M$9=$H61),0)),"")</f>
        <v>452216.64405694592</v>
      </c>
      <c r="S61" s="657" cm="1">
        <f t="array" ref="S61">IFERROR($K61*INDEX(S$2:S$9,MATCH(1,($L$2:$L$9=$D61)*($M$2:$M$9=$H61),0)),"")</f>
        <v>453245.4066456026</v>
      </c>
      <c r="T61" s="657" cm="1">
        <f t="array" ref="T61">IFERROR($K61*INDEX(T$2:T$9,MATCH(1,($L$2:$L$9=$D61)*($M$2:$M$9=$H61),0)),"")</f>
        <v>454274.16923425935</v>
      </c>
      <c r="U61" s="680">
        <f t="shared" si="9"/>
        <v>2.7E-2</v>
      </c>
      <c r="V61" s="719">
        <f t="shared" si="10"/>
        <v>11729.297314364672</v>
      </c>
      <c r="W61" s="719">
        <f t="shared" si="1"/>
        <v>11991.375822591608</v>
      </c>
      <c r="X61" s="719">
        <f t="shared" si="2"/>
        <v>12075.928932382933</v>
      </c>
      <c r="Y61" s="719">
        <f t="shared" si="3"/>
        <v>12142.889160960234</v>
      </c>
      <c r="Z61" s="719">
        <f t="shared" si="4"/>
        <v>12209.84938953754</v>
      </c>
      <c r="AA61" s="719">
        <f t="shared" si="5"/>
        <v>12237.62597943127</v>
      </c>
      <c r="AB61" s="719">
        <f t="shared" si="6"/>
        <v>12265.402569325002</v>
      </c>
      <c r="AC61" s="681" t="str">
        <f t="shared" si="18"/>
        <v>TFHCV3ODS-N</v>
      </c>
    </row>
    <row r="62" spans="1:29" x14ac:dyDescent="0.25">
      <c r="A62" s="227" t="s">
        <v>1012</v>
      </c>
      <c r="B62" s="220" t="str">
        <f>VLOOKUP($A62,ITEMS_Tech_N!$D$6:$E$122,2,FALSE)</f>
        <v>Transport Freight - HCV4 Oil Diesel-N</v>
      </c>
      <c r="C62" s="220" t="s">
        <v>1294</v>
      </c>
      <c r="D62" s="711" t="str">
        <f t="shared" si="8"/>
        <v>Other</v>
      </c>
      <c r="E62" s="220" t="s">
        <v>1270</v>
      </c>
      <c r="F62" s="220" t="s">
        <v>1122</v>
      </c>
      <c r="G62" s="220" t="s">
        <v>1111</v>
      </c>
      <c r="H62" s="220" t="s">
        <v>326</v>
      </c>
      <c r="I62" s="656"/>
      <c r="J62" s="658">
        <f>0.75*J65</f>
        <v>956250</v>
      </c>
      <c r="K62" s="656">
        <f t="shared" si="19"/>
        <v>850738.48827106878</v>
      </c>
      <c r="L62" s="659" t="s">
        <v>1199</v>
      </c>
      <c r="M62" s="659" t="s">
        <v>1209</v>
      </c>
      <c r="N62" s="657" cm="1">
        <f t="array" ref="N62">IFERROR($K62*INDEX(N$2:N$9,MATCH(1,($L$2:$L$9=$D62)*($M$2:$M$9=$H62),0)),"")</f>
        <v>833320.277650206</v>
      </c>
      <c r="O62" s="657" cm="1">
        <f t="array" ref="O62">IFERROR($K62*INDEX(O$2:O$9,MATCH(1,($L$2:$L$9=$D62)*($M$2:$M$9=$H62),0)),"")</f>
        <v>851939.92121353839</v>
      </c>
      <c r="P62" s="657" cm="1">
        <f t="array" ref="P62">IFERROR($K62*INDEX(P$2:P$9,MATCH(1,($L$2:$L$9=$D62)*($M$2:$M$9=$H62),0)),"")</f>
        <v>857947.08592588676</v>
      </c>
      <c r="Q62" s="657" cm="1">
        <f t="array" ref="Q62">IFERROR($K62*INDEX(Q$2:Q$9,MATCH(1,($L$2:$L$9=$D62)*($M$2:$M$9=$H62),0)),"")</f>
        <v>862704.34586857946</v>
      </c>
      <c r="R62" s="657" cm="1">
        <f t="array" ref="R62">IFERROR($K62*INDEX(R$2:R$9,MATCH(1,($L$2:$L$9=$D62)*($M$2:$M$9=$H62),0)),"")</f>
        <v>867461.60581127217</v>
      </c>
      <c r="S62" s="657" cm="1">
        <f t="array" ref="S62">IFERROR($K62*INDEX(S$2:S$9,MATCH(1,($L$2:$L$9=$D62)*($M$2:$M$9=$H62),0)),"")</f>
        <v>869435.02288665588</v>
      </c>
      <c r="T62" s="657" cm="1">
        <f t="array" ref="T62">IFERROR($K62*INDEX(T$2:T$9,MATCH(1,($L$2:$L$9=$D62)*($M$2:$M$9=$H62),0)),"")</f>
        <v>871408.4399620397</v>
      </c>
      <c r="U62" s="680">
        <f t="shared" si="9"/>
        <v>2.7E-2</v>
      </c>
      <c r="V62" s="719">
        <f t="shared" si="10"/>
        <v>22499.647496555561</v>
      </c>
      <c r="W62" s="719">
        <f t="shared" si="1"/>
        <v>23002.377872765537</v>
      </c>
      <c r="X62" s="719">
        <f t="shared" si="2"/>
        <v>23164.57131999894</v>
      </c>
      <c r="Y62" s="719">
        <f t="shared" si="3"/>
        <v>23293.017338451646</v>
      </c>
      <c r="Z62" s="719">
        <f t="shared" si="4"/>
        <v>23421.463356904347</v>
      </c>
      <c r="AA62" s="719">
        <f t="shared" si="5"/>
        <v>23474.745617939709</v>
      </c>
      <c r="AB62" s="719">
        <f t="shared" si="6"/>
        <v>23528.02787897507</v>
      </c>
      <c r="AC62" s="681" t="str">
        <f t="shared" si="18"/>
        <v>TFHCV4ODS-N</v>
      </c>
    </row>
    <row r="63" spans="1:29" x14ac:dyDescent="0.25">
      <c r="A63" s="227" t="s">
        <v>1014</v>
      </c>
      <c r="B63" s="220" t="str">
        <f>VLOOKUP($A63,ITEMS_Tech_N!$D$6:$E$122,2,FALSE)</f>
        <v>Transport Freight - HCV5 Oil Diesel-N</v>
      </c>
      <c r="C63" s="220" t="s">
        <v>1294</v>
      </c>
      <c r="D63" s="711" t="str">
        <f t="shared" si="8"/>
        <v>Other</v>
      </c>
      <c r="E63" s="220" t="s">
        <v>1271</v>
      </c>
      <c r="F63" s="220" t="s">
        <v>1122</v>
      </c>
      <c r="G63" s="220" t="s">
        <v>1111</v>
      </c>
      <c r="H63" s="220" t="s">
        <v>326</v>
      </c>
      <c r="I63" s="656"/>
      <c r="J63" s="658">
        <f>0.75*J65</f>
        <v>956250</v>
      </c>
      <c r="K63" s="656">
        <f t="shared" si="19"/>
        <v>850738.48827106878</v>
      </c>
      <c r="L63" s="659" t="s">
        <v>1199</v>
      </c>
      <c r="M63" s="659" t="s">
        <v>1209</v>
      </c>
      <c r="N63" s="657" cm="1">
        <f t="array" ref="N63">IFERROR($K63*INDEX(N$2:N$9,MATCH(1,($L$2:$L$9=$D63)*($M$2:$M$9=$H63),0)),"")</f>
        <v>833320.277650206</v>
      </c>
      <c r="O63" s="657" cm="1">
        <f t="array" ref="O63">IFERROR($K63*INDEX(O$2:O$9,MATCH(1,($L$2:$L$9=$D63)*($M$2:$M$9=$H63),0)),"")</f>
        <v>851939.92121353839</v>
      </c>
      <c r="P63" s="657" cm="1">
        <f t="array" ref="P63">IFERROR($K63*INDEX(P$2:P$9,MATCH(1,($L$2:$L$9=$D63)*($M$2:$M$9=$H63),0)),"")</f>
        <v>857947.08592588676</v>
      </c>
      <c r="Q63" s="657" cm="1">
        <f t="array" ref="Q63">IFERROR($K63*INDEX(Q$2:Q$9,MATCH(1,($L$2:$L$9=$D63)*($M$2:$M$9=$H63),0)),"")</f>
        <v>862704.34586857946</v>
      </c>
      <c r="R63" s="657" cm="1">
        <f t="array" ref="R63">IFERROR($K63*INDEX(R$2:R$9,MATCH(1,($L$2:$L$9=$D63)*($M$2:$M$9=$H63),0)),"")</f>
        <v>867461.60581127217</v>
      </c>
      <c r="S63" s="657" cm="1">
        <f t="array" ref="S63">IFERROR($K63*INDEX(S$2:S$9,MATCH(1,($L$2:$L$9=$D63)*($M$2:$M$9=$H63),0)),"")</f>
        <v>869435.02288665588</v>
      </c>
      <c r="T63" s="657" cm="1">
        <f t="array" ref="T63">IFERROR($K63*INDEX(T$2:T$9,MATCH(1,($L$2:$L$9=$D63)*($M$2:$M$9=$H63),0)),"")</f>
        <v>871408.4399620397</v>
      </c>
      <c r="U63" s="680">
        <f t="shared" si="9"/>
        <v>2.7E-2</v>
      </c>
      <c r="V63" s="719">
        <f t="shared" si="10"/>
        <v>22499.647496555561</v>
      </c>
      <c r="W63" s="719">
        <f t="shared" si="1"/>
        <v>23002.377872765537</v>
      </c>
      <c r="X63" s="719">
        <f t="shared" si="2"/>
        <v>23164.57131999894</v>
      </c>
      <c r="Y63" s="719">
        <f t="shared" si="3"/>
        <v>23293.017338451646</v>
      </c>
      <c r="Z63" s="719">
        <f t="shared" si="4"/>
        <v>23421.463356904347</v>
      </c>
      <c r="AA63" s="719">
        <f t="shared" si="5"/>
        <v>23474.745617939709</v>
      </c>
      <c r="AB63" s="719">
        <f t="shared" si="6"/>
        <v>23528.02787897507</v>
      </c>
      <c r="AC63" s="681" t="str">
        <f t="shared" si="18"/>
        <v>TFHCV5ODS-N</v>
      </c>
    </row>
    <row r="64" spans="1:29" x14ac:dyDescent="0.25">
      <c r="A64" s="227" t="s">
        <v>1016</v>
      </c>
      <c r="B64" s="220" t="str">
        <f>VLOOKUP($A64,ITEMS_Tech_N!$D$6:$E$122,2,FALSE)</f>
        <v>Transport Freight - HCV6 Oil Diesel-N</v>
      </c>
      <c r="C64" s="220" t="s">
        <v>1294</v>
      </c>
      <c r="D64" s="711" t="str">
        <f t="shared" si="8"/>
        <v>Other</v>
      </c>
      <c r="E64" s="220" t="s">
        <v>1272</v>
      </c>
      <c r="F64" s="220" t="s">
        <v>1122</v>
      </c>
      <c r="G64" s="220" t="s">
        <v>1111</v>
      </c>
      <c r="H64" s="220" t="s">
        <v>326</v>
      </c>
      <c r="I64" s="220"/>
      <c r="J64" s="659">
        <f>0.75*J65</f>
        <v>956250</v>
      </c>
      <c r="K64" s="656">
        <f t="shared" si="19"/>
        <v>850738.48827106878</v>
      </c>
      <c r="L64" s="659" t="s">
        <v>1199</v>
      </c>
      <c r="M64" s="659" t="s">
        <v>1209</v>
      </c>
      <c r="N64" s="657" cm="1">
        <f t="array" ref="N64">IFERROR($K64*INDEX(N$2:N$9,MATCH(1,($L$2:$L$9=$D64)*($M$2:$M$9=$H64),0)),"")</f>
        <v>833320.277650206</v>
      </c>
      <c r="O64" s="657" cm="1">
        <f t="array" ref="O64">IFERROR($K64*INDEX(O$2:O$9,MATCH(1,($L$2:$L$9=$D64)*($M$2:$M$9=$H64),0)),"")</f>
        <v>851939.92121353839</v>
      </c>
      <c r="P64" s="657" cm="1">
        <f t="array" ref="P64">IFERROR($K64*INDEX(P$2:P$9,MATCH(1,($L$2:$L$9=$D64)*($M$2:$M$9=$H64),0)),"")</f>
        <v>857947.08592588676</v>
      </c>
      <c r="Q64" s="657" cm="1">
        <f t="array" ref="Q64">IFERROR($K64*INDEX(Q$2:Q$9,MATCH(1,($L$2:$L$9=$D64)*($M$2:$M$9=$H64),0)),"")</f>
        <v>862704.34586857946</v>
      </c>
      <c r="R64" s="657" cm="1">
        <f t="array" ref="R64">IFERROR($K64*INDEX(R$2:R$9,MATCH(1,($L$2:$L$9=$D64)*($M$2:$M$9=$H64),0)),"")</f>
        <v>867461.60581127217</v>
      </c>
      <c r="S64" s="657" cm="1">
        <f t="array" ref="S64">IFERROR($K64*INDEX(S$2:S$9,MATCH(1,($L$2:$L$9=$D64)*($M$2:$M$9=$H64),0)),"")</f>
        <v>869435.02288665588</v>
      </c>
      <c r="T64" s="657" cm="1">
        <f t="array" ref="T64">IFERROR($K64*INDEX(T$2:T$9,MATCH(1,($L$2:$L$9=$D64)*($M$2:$M$9=$H64),0)),"")</f>
        <v>871408.4399620397</v>
      </c>
      <c r="U64" s="680">
        <f t="shared" si="9"/>
        <v>2.7E-2</v>
      </c>
      <c r="V64" s="719">
        <f t="shared" si="10"/>
        <v>22499.647496555561</v>
      </c>
      <c r="W64" s="719">
        <f t="shared" si="1"/>
        <v>23002.377872765537</v>
      </c>
      <c r="X64" s="719">
        <f t="shared" si="2"/>
        <v>23164.57131999894</v>
      </c>
      <c r="Y64" s="719">
        <f t="shared" si="3"/>
        <v>23293.017338451646</v>
      </c>
      <c r="Z64" s="719">
        <f t="shared" si="4"/>
        <v>23421.463356904347</v>
      </c>
      <c r="AA64" s="719">
        <f t="shared" si="5"/>
        <v>23474.745617939709</v>
      </c>
      <c r="AB64" s="719">
        <f t="shared" si="6"/>
        <v>23528.02787897507</v>
      </c>
      <c r="AC64" s="681" t="str">
        <f t="shared" si="18"/>
        <v>TFHCV6ODS-N</v>
      </c>
    </row>
    <row r="65" spans="1:29" x14ac:dyDescent="0.25">
      <c r="A65" s="227" t="s">
        <v>1018</v>
      </c>
      <c r="B65" s="220" t="str">
        <f>VLOOKUP($A65,ITEMS_Tech_N!$D$6:$E$122,2,FALSE)</f>
        <v>Transport Freight - HCV7 Oil Diesel-N</v>
      </c>
      <c r="C65" s="220" t="s">
        <v>1294</v>
      </c>
      <c r="D65" s="711" t="str">
        <f t="shared" si="8"/>
        <v>Other</v>
      </c>
      <c r="E65" s="220" t="s">
        <v>1273</v>
      </c>
      <c r="F65" s="220" t="s">
        <v>1123</v>
      </c>
      <c r="G65" s="220" t="s">
        <v>1111</v>
      </c>
      <c r="H65" s="220" t="s">
        <v>326</v>
      </c>
      <c r="I65" s="656">
        <f>1500000*0.85</f>
        <v>1275000</v>
      </c>
      <c r="J65" s="656">
        <f>I65</f>
        <v>1275000</v>
      </c>
      <c r="K65" s="656">
        <f t="shared" si="19"/>
        <v>1134317.984361425</v>
      </c>
      <c r="L65" s="220" t="s">
        <v>1191</v>
      </c>
      <c r="M65" s="220" t="s">
        <v>1192</v>
      </c>
      <c r="N65" s="657" cm="1">
        <f t="array" ref="N65">IFERROR($K65*INDEX(N$2:N$9,MATCH(1,($L$2:$L$9=$D65)*($M$2:$M$9=$H65),0)),"")</f>
        <v>1111093.703533608</v>
      </c>
      <c r="O65" s="657" cm="1">
        <f t="array" ref="O65">IFERROR($K65*INDEX(O$2:O$9,MATCH(1,($L$2:$L$9=$D65)*($M$2:$M$9=$H65),0)),"")</f>
        <v>1135919.8949513845</v>
      </c>
      <c r="P65" s="657" cm="1">
        <f t="array" ref="P65">IFERROR($K65*INDEX(P$2:P$9,MATCH(1,($L$2:$L$9=$D65)*($M$2:$M$9=$H65),0)),"")</f>
        <v>1143929.4479011823</v>
      </c>
      <c r="Q65" s="657" cm="1">
        <f t="array" ref="Q65">IFERROR($K65*INDEX(Q$2:Q$9,MATCH(1,($L$2:$L$9=$D65)*($M$2:$M$9=$H65),0)),"")</f>
        <v>1150272.4611581059</v>
      </c>
      <c r="R65" s="657" cm="1">
        <f t="array" ref="R65">IFERROR($K65*INDEX(R$2:R$9,MATCH(1,($L$2:$L$9=$D65)*($M$2:$M$9=$H65),0)),"")</f>
        <v>1156615.4744150296</v>
      </c>
      <c r="S65" s="657" cm="1">
        <f t="array" ref="S65">IFERROR($K65*INDEX(S$2:S$9,MATCH(1,($L$2:$L$9=$D65)*($M$2:$M$9=$H65),0)),"")</f>
        <v>1159246.6971822078</v>
      </c>
      <c r="T65" s="657" cm="1">
        <f t="array" ref="T65">IFERROR($K65*INDEX(T$2:T$9,MATCH(1,($L$2:$L$9=$D65)*($M$2:$M$9=$H65),0)),"")</f>
        <v>1161877.9199493863</v>
      </c>
      <c r="U65" s="680">
        <f t="shared" si="9"/>
        <v>2.7E-2</v>
      </c>
      <c r="V65" s="719">
        <f t="shared" si="10"/>
        <v>29999.529995407414</v>
      </c>
      <c r="W65" s="719">
        <f t="shared" si="1"/>
        <v>30669.837163687382</v>
      </c>
      <c r="X65" s="719">
        <f t="shared" si="2"/>
        <v>30886.095093331922</v>
      </c>
      <c r="Y65" s="719">
        <f t="shared" si="3"/>
        <v>31057.356451268857</v>
      </c>
      <c r="Z65" s="719">
        <f t="shared" si="4"/>
        <v>31228.6178092058</v>
      </c>
      <c r="AA65" s="719">
        <f t="shared" si="5"/>
        <v>31299.66082391961</v>
      </c>
      <c r="AB65" s="719">
        <f t="shared" si="6"/>
        <v>31370.703838633428</v>
      </c>
      <c r="AC65" s="681" t="str">
        <f t="shared" si="18"/>
        <v>TFHCV7ODS-N</v>
      </c>
    </row>
    <row r="66" spans="1:29" x14ac:dyDescent="0.25">
      <c r="A66" s="227" t="s">
        <v>1020</v>
      </c>
      <c r="B66" s="220" t="str">
        <f>VLOOKUP($A66,ITEMS_Tech_N!$D$6:$E$122,2,FALSE)</f>
        <v>Transport Freight - HCV8 Oil Diesel-N</v>
      </c>
      <c r="C66" s="220" t="s">
        <v>1294</v>
      </c>
      <c r="D66" s="711" t="str">
        <f t="shared" si="8"/>
        <v>Other</v>
      </c>
      <c r="E66" s="220" t="s">
        <v>1274</v>
      </c>
      <c r="F66" s="220" t="s">
        <v>1123</v>
      </c>
      <c r="G66" s="220" t="s">
        <v>1111</v>
      </c>
      <c r="H66" s="220" t="s">
        <v>326</v>
      </c>
      <c r="I66" s="220"/>
      <c r="J66" s="658">
        <f>J65</f>
        <v>1275000</v>
      </c>
      <c r="K66" s="656">
        <f t="shared" si="19"/>
        <v>1134317.984361425</v>
      </c>
      <c r="L66" s="659" t="s">
        <v>1199</v>
      </c>
      <c r="M66" s="659" t="s">
        <v>1210</v>
      </c>
      <c r="N66" s="657" cm="1">
        <f t="array" ref="N66">IFERROR($K66*INDEX(N$2:N$9,MATCH(1,($L$2:$L$9=$D66)*($M$2:$M$9=$H66),0)),"")</f>
        <v>1111093.703533608</v>
      </c>
      <c r="O66" s="657" cm="1">
        <f t="array" ref="O66">IFERROR($K66*INDEX(O$2:O$9,MATCH(1,($L$2:$L$9=$D66)*($M$2:$M$9=$H66),0)),"")</f>
        <v>1135919.8949513845</v>
      </c>
      <c r="P66" s="657" cm="1">
        <f t="array" ref="P66">IFERROR($K66*INDEX(P$2:P$9,MATCH(1,($L$2:$L$9=$D66)*($M$2:$M$9=$H66),0)),"")</f>
        <v>1143929.4479011823</v>
      </c>
      <c r="Q66" s="657" cm="1">
        <f t="array" ref="Q66">IFERROR($K66*INDEX(Q$2:Q$9,MATCH(1,($L$2:$L$9=$D66)*($M$2:$M$9=$H66),0)),"")</f>
        <v>1150272.4611581059</v>
      </c>
      <c r="R66" s="657" cm="1">
        <f t="array" ref="R66">IFERROR($K66*INDEX(R$2:R$9,MATCH(1,($L$2:$L$9=$D66)*($M$2:$M$9=$H66),0)),"")</f>
        <v>1156615.4744150296</v>
      </c>
      <c r="S66" s="657" cm="1">
        <f t="array" ref="S66">IFERROR($K66*INDEX(S$2:S$9,MATCH(1,($L$2:$L$9=$D66)*($M$2:$M$9=$H66),0)),"")</f>
        <v>1159246.6971822078</v>
      </c>
      <c r="T66" s="657" cm="1">
        <f t="array" ref="T66">IFERROR($K66*INDEX(T$2:T$9,MATCH(1,($L$2:$L$9=$D66)*($M$2:$M$9=$H66),0)),"")</f>
        <v>1161877.9199493863</v>
      </c>
      <c r="U66" s="680">
        <f t="shared" si="9"/>
        <v>2.7E-2</v>
      </c>
      <c r="V66" s="719">
        <f t="shared" si="10"/>
        <v>29999.529995407414</v>
      </c>
      <c r="W66" s="719">
        <f t="shared" si="1"/>
        <v>30669.837163687382</v>
      </c>
      <c r="X66" s="719">
        <f t="shared" si="2"/>
        <v>30886.095093331922</v>
      </c>
      <c r="Y66" s="719">
        <f t="shared" si="3"/>
        <v>31057.356451268857</v>
      </c>
      <c r="Z66" s="719">
        <f t="shared" si="4"/>
        <v>31228.6178092058</v>
      </c>
      <c r="AA66" s="719">
        <f t="shared" si="5"/>
        <v>31299.66082391961</v>
      </c>
      <c r="AB66" s="719">
        <f t="shared" si="6"/>
        <v>31370.703838633428</v>
      </c>
      <c r="AC66" s="681" t="str">
        <f t="shared" si="18"/>
        <v>TFHCV8ODS-N</v>
      </c>
    </row>
    <row r="67" spans="1:29" x14ac:dyDescent="0.25">
      <c r="A67" s="227" t="s">
        <v>1022</v>
      </c>
      <c r="B67" s="220" t="str">
        <f>VLOOKUP($A67,ITEMS_Tech_N!$D$6:$E$122,2,FALSE)</f>
        <v>Transport Freight - HCV9 Oil Diesel-N</v>
      </c>
      <c r="C67" s="220" t="s">
        <v>1294</v>
      </c>
      <c r="D67" s="711" t="str">
        <f t="shared" si="8"/>
        <v>Other</v>
      </c>
      <c r="E67" s="220" t="s">
        <v>1275</v>
      </c>
      <c r="F67" s="220" t="s">
        <v>1123</v>
      </c>
      <c r="G67" s="220" t="s">
        <v>1111</v>
      </c>
      <c r="H67" s="220" t="s">
        <v>326</v>
      </c>
      <c r="I67" s="220"/>
      <c r="J67" s="658">
        <f>J66</f>
        <v>1275000</v>
      </c>
      <c r="K67" s="656">
        <f t="shared" si="19"/>
        <v>1134317.984361425</v>
      </c>
      <c r="L67" s="659" t="s">
        <v>1199</v>
      </c>
      <c r="M67" s="659" t="s">
        <v>1210</v>
      </c>
      <c r="N67" s="657" cm="1">
        <f t="array" ref="N67">IFERROR($K67*INDEX(N$2:N$9,MATCH(1,($L$2:$L$9=$D67)*($M$2:$M$9=$H67),0)),"")</f>
        <v>1111093.703533608</v>
      </c>
      <c r="O67" s="657" cm="1">
        <f t="array" ref="O67">IFERROR($K67*INDEX(O$2:O$9,MATCH(1,($L$2:$L$9=$D67)*($M$2:$M$9=$H67),0)),"")</f>
        <v>1135919.8949513845</v>
      </c>
      <c r="P67" s="657" cm="1">
        <f t="array" ref="P67">IFERROR($K67*INDEX(P$2:P$9,MATCH(1,($L$2:$L$9=$D67)*($M$2:$M$9=$H67),0)),"")</f>
        <v>1143929.4479011823</v>
      </c>
      <c r="Q67" s="657" cm="1">
        <f t="array" ref="Q67">IFERROR($K67*INDEX(Q$2:Q$9,MATCH(1,($L$2:$L$9=$D67)*($M$2:$M$9=$H67),0)),"")</f>
        <v>1150272.4611581059</v>
      </c>
      <c r="R67" s="657" cm="1">
        <f t="array" ref="R67">IFERROR($K67*INDEX(R$2:R$9,MATCH(1,($L$2:$L$9=$D67)*($M$2:$M$9=$H67),0)),"")</f>
        <v>1156615.4744150296</v>
      </c>
      <c r="S67" s="657" cm="1">
        <f t="array" ref="S67">IFERROR($K67*INDEX(S$2:S$9,MATCH(1,($L$2:$L$9=$D67)*($M$2:$M$9=$H67),0)),"")</f>
        <v>1159246.6971822078</v>
      </c>
      <c r="T67" s="657" cm="1">
        <f t="array" ref="T67">IFERROR($K67*INDEX(T$2:T$9,MATCH(1,($L$2:$L$9=$D67)*($M$2:$M$9=$H67),0)),"")</f>
        <v>1161877.9199493863</v>
      </c>
      <c r="U67" s="680">
        <f t="shared" si="9"/>
        <v>2.7E-2</v>
      </c>
      <c r="V67" s="719">
        <f t="shared" si="10"/>
        <v>29999.529995407414</v>
      </c>
      <c r="W67" s="719">
        <f t="shared" si="1"/>
        <v>30669.837163687382</v>
      </c>
      <c r="X67" s="719">
        <f t="shared" si="2"/>
        <v>30886.095093331922</v>
      </c>
      <c r="Y67" s="719">
        <f t="shared" si="3"/>
        <v>31057.356451268857</v>
      </c>
      <c r="Z67" s="719">
        <f t="shared" si="4"/>
        <v>31228.6178092058</v>
      </c>
      <c r="AA67" s="719">
        <f t="shared" si="5"/>
        <v>31299.66082391961</v>
      </c>
      <c r="AB67" s="719">
        <f t="shared" si="6"/>
        <v>31370.703838633428</v>
      </c>
      <c r="AC67" s="681" t="str">
        <f t="shared" si="18"/>
        <v>TFHCV9ODS-N</v>
      </c>
    </row>
    <row r="68" spans="1:29" x14ac:dyDescent="0.25">
      <c r="A68" s="227" t="s">
        <v>1024</v>
      </c>
      <c r="B68" s="220" t="e">
        <f>VLOOKUP($A68,ITEMS_Tech_N!$D$6:$E$122,2,FALSE)</f>
        <v>#N/A</v>
      </c>
      <c r="C68" s="220" t="s">
        <v>1294</v>
      </c>
      <c r="D68" s="711" t="str">
        <f t="shared" si="8"/>
        <v>Other</v>
      </c>
      <c r="E68" s="220" t="s">
        <v>1267</v>
      </c>
      <c r="F68" s="220" t="s">
        <v>1120</v>
      </c>
      <c r="G68" s="220" t="s">
        <v>1115</v>
      </c>
      <c r="H68" s="220" t="s">
        <v>326</v>
      </c>
      <c r="I68" s="656"/>
      <c r="J68" s="661" t="s">
        <v>504</v>
      </c>
      <c r="K68" s="656" t="str">
        <f t="shared" si="19"/>
        <v/>
      </c>
      <c r="L68" s="220"/>
      <c r="M68" s="220"/>
      <c r="N68" s="657" t="str" cm="1">
        <f t="array" ref="N68">IFERROR($K68*INDEX(N$2:N$9,MATCH(1,($L$2:$L$9=$D68)*($M$2:$M$9=$H68),0)),"")</f>
        <v/>
      </c>
      <c r="O68" s="657" t="str" cm="1">
        <f t="array" ref="O68">IFERROR($K68*INDEX(O$2:O$9,MATCH(1,($L$2:$L$9=$D68)*($M$2:$M$9=$H68),0)),"")</f>
        <v/>
      </c>
      <c r="P68" s="657" t="str" cm="1">
        <f t="array" ref="P68">IFERROR($K68*INDEX(P$2:P$9,MATCH(1,($L$2:$L$9=$D68)*($M$2:$M$9=$H68),0)),"")</f>
        <v/>
      </c>
      <c r="Q68" s="657" t="str" cm="1">
        <f t="array" ref="Q68">IFERROR($K68*INDEX(Q$2:Q$9,MATCH(1,($L$2:$L$9=$D68)*($M$2:$M$9=$H68),0)),"")</f>
        <v/>
      </c>
      <c r="R68" s="657" t="str" cm="1">
        <f t="array" ref="R68">IFERROR($K68*INDEX(R$2:R$9,MATCH(1,($L$2:$L$9=$D68)*($M$2:$M$9=$H68),0)),"")</f>
        <v/>
      </c>
      <c r="S68" s="657" t="str" cm="1">
        <f t="array" ref="S68">IFERROR($K68*INDEX(S$2:S$9,MATCH(1,($L$2:$L$9=$D68)*($M$2:$M$9=$H68),0)),"")</f>
        <v/>
      </c>
      <c r="T68" s="657" t="str" cm="1">
        <f t="array" ref="T68">IFERROR($K68*INDEX(T$2:T$9,MATCH(1,($L$2:$L$9=$D68)*($M$2:$M$9=$H68),0)),"")</f>
        <v/>
      </c>
      <c r="U68" s="680">
        <f t="shared" si="9"/>
        <v>2.7E-2</v>
      </c>
      <c r="V68" s="719" t="str">
        <f t="shared" si="10"/>
        <v/>
      </c>
      <c r="W68" s="719" t="str">
        <f t="shared" si="1"/>
        <v/>
      </c>
      <c r="X68" s="719" t="str">
        <f t="shared" si="2"/>
        <v/>
      </c>
      <c r="Y68" s="719" t="str">
        <f t="shared" si="3"/>
        <v/>
      </c>
      <c r="Z68" s="719" t="str">
        <f t="shared" si="4"/>
        <v/>
      </c>
      <c r="AA68" s="719" t="str">
        <f t="shared" si="5"/>
        <v/>
      </c>
      <c r="AB68" s="719" t="str">
        <f t="shared" si="6"/>
        <v/>
      </c>
      <c r="AC68" s="681" t="str">
        <f t="shared" si="18"/>
        <v>TFHCV1GAS-N</v>
      </c>
    </row>
    <row r="69" spans="1:29" x14ac:dyDescent="0.25">
      <c r="A69" s="227" t="s">
        <v>1026</v>
      </c>
      <c r="B69" s="220" t="e">
        <f>VLOOKUP($A69,ITEMS_Tech_N!$D$6:$E$122,2,FALSE)</f>
        <v>#N/A</v>
      </c>
      <c r="C69" s="220" t="s">
        <v>1294</v>
      </c>
      <c r="D69" s="711" t="str">
        <f t="shared" si="8"/>
        <v>Other</v>
      </c>
      <c r="E69" s="220" t="s">
        <v>1268</v>
      </c>
      <c r="F69" s="220" t="s">
        <v>1120</v>
      </c>
      <c r="G69" s="220" t="s">
        <v>1115</v>
      </c>
      <c r="H69" s="220" t="s">
        <v>326</v>
      </c>
      <c r="I69" s="656"/>
      <c r="J69" s="661" t="s">
        <v>504</v>
      </c>
      <c r="K69" s="656" t="str">
        <f t="shared" si="19"/>
        <v/>
      </c>
      <c r="L69" s="220"/>
      <c r="M69" s="220"/>
      <c r="N69" s="657" t="str" cm="1">
        <f t="array" ref="N69">IFERROR($K69*INDEX(N$2:N$9,MATCH(1,($L$2:$L$9=$D69)*($M$2:$M$9=$H69),0)),"")</f>
        <v/>
      </c>
      <c r="O69" s="657" t="str" cm="1">
        <f t="array" ref="O69">IFERROR($K69*INDEX(O$2:O$9,MATCH(1,($L$2:$L$9=$D69)*($M$2:$M$9=$H69),0)),"")</f>
        <v/>
      </c>
      <c r="P69" s="657" t="str" cm="1">
        <f t="array" ref="P69">IFERROR($K69*INDEX(P$2:P$9,MATCH(1,($L$2:$L$9=$D69)*($M$2:$M$9=$H69),0)),"")</f>
        <v/>
      </c>
      <c r="Q69" s="657" t="str" cm="1">
        <f t="array" ref="Q69">IFERROR($K69*INDEX(Q$2:Q$9,MATCH(1,($L$2:$L$9=$D69)*($M$2:$M$9=$H69),0)),"")</f>
        <v/>
      </c>
      <c r="R69" s="657" t="str" cm="1">
        <f t="array" ref="R69">IFERROR($K69*INDEX(R$2:R$9,MATCH(1,($L$2:$L$9=$D69)*($M$2:$M$9=$H69),0)),"")</f>
        <v/>
      </c>
      <c r="S69" s="657" t="str" cm="1">
        <f t="array" ref="S69">IFERROR($K69*INDEX(S$2:S$9,MATCH(1,($L$2:$L$9=$D69)*($M$2:$M$9=$H69),0)),"")</f>
        <v/>
      </c>
      <c r="T69" s="657" t="str" cm="1">
        <f t="array" ref="T69">IFERROR($K69*INDEX(T$2:T$9,MATCH(1,($L$2:$L$9=$D69)*($M$2:$M$9=$H69),0)),"")</f>
        <v/>
      </c>
      <c r="U69" s="680">
        <f t="shared" si="9"/>
        <v>2.7E-2</v>
      </c>
      <c r="V69" s="719" t="str">
        <f t="shared" si="10"/>
        <v/>
      </c>
      <c r="W69" s="719" t="str">
        <f t="shared" si="1"/>
        <v/>
      </c>
      <c r="X69" s="719" t="str">
        <f t="shared" si="2"/>
        <v/>
      </c>
      <c r="Y69" s="719" t="str">
        <f t="shared" si="3"/>
        <v/>
      </c>
      <c r="Z69" s="719" t="str">
        <f t="shared" si="4"/>
        <v/>
      </c>
      <c r="AA69" s="719" t="str">
        <f t="shared" si="5"/>
        <v/>
      </c>
      <c r="AB69" s="719" t="str">
        <f t="shared" si="6"/>
        <v/>
      </c>
      <c r="AC69" s="681" t="str">
        <f t="shared" si="18"/>
        <v>TFHCV2GAS-N</v>
      </c>
    </row>
    <row r="70" spans="1:29" x14ac:dyDescent="0.25">
      <c r="A70" s="227" t="s">
        <v>1028</v>
      </c>
      <c r="B70" s="220" t="e">
        <f>VLOOKUP($A70,ITEMS_Tech_N!$D$6:$E$122,2,FALSE)</f>
        <v>#N/A</v>
      </c>
      <c r="C70" s="220" t="s">
        <v>1294</v>
      </c>
      <c r="D70" s="711" t="str">
        <f t="shared" si="8"/>
        <v>Other</v>
      </c>
      <c r="E70" s="220" t="s">
        <v>1269</v>
      </c>
      <c r="F70" s="220" t="s">
        <v>1120</v>
      </c>
      <c r="G70" s="220" t="s">
        <v>1115</v>
      </c>
      <c r="H70" s="220" t="s">
        <v>326</v>
      </c>
      <c r="I70" s="656"/>
      <c r="J70" s="661" t="s">
        <v>504</v>
      </c>
      <c r="K70" s="656" t="str">
        <f t="shared" si="19"/>
        <v/>
      </c>
      <c r="L70" s="220"/>
      <c r="M70" s="220"/>
      <c r="N70" s="657" t="str" cm="1">
        <f t="array" ref="N70">IFERROR($K70*INDEX(N$2:N$9,MATCH(1,($L$2:$L$9=$D70)*($M$2:$M$9=$H70),0)),"")</f>
        <v/>
      </c>
      <c r="O70" s="657" t="str" cm="1">
        <f t="array" ref="O70">IFERROR($K70*INDEX(O$2:O$9,MATCH(1,($L$2:$L$9=$D70)*($M$2:$M$9=$H70),0)),"")</f>
        <v/>
      </c>
      <c r="P70" s="657" t="str" cm="1">
        <f t="array" ref="P70">IFERROR($K70*INDEX(P$2:P$9,MATCH(1,($L$2:$L$9=$D70)*($M$2:$M$9=$H70),0)),"")</f>
        <v/>
      </c>
      <c r="Q70" s="657" t="str" cm="1">
        <f t="array" ref="Q70">IFERROR($K70*INDEX(Q$2:Q$9,MATCH(1,($L$2:$L$9=$D70)*($M$2:$M$9=$H70),0)),"")</f>
        <v/>
      </c>
      <c r="R70" s="657" t="str" cm="1">
        <f t="array" ref="R70">IFERROR($K70*INDEX(R$2:R$9,MATCH(1,($L$2:$L$9=$D70)*($M$2:$M$9=$H70),0)),"")</f>
        <v/>
      </c>
      <c r="S70" s="657" t="str" cm="1">
        <f t="array" ref="S70">IFERROR($K70*INDEX(S$2:S$9,MATCH(1,($L$2:$L$9=$D70)*($M$2:$M$9=$H70),0)),"")</f>
        <v/>
      </c>
      <c r="T70" s="657" t="str" cm="1">
        <f t="array" ref="T70">IFERROR($K70*INDEX(T$2:T$9,MATCH(1,($L$2:$L$9=$D70)*($M$2:$M$9=$H70),0)),"")</f>
        <v/>
      </c>
      <c r="U70" s="680">
        <f t="shared" si="9"/>
        <v>2.7E-2</v>
      </c>
      <c r="V70" s="719" t="str">
        <f t="shared" si="10"/>
        <v/>
      </c>
      <c r="W70" s="719" t="str">
        <f t="shared" si="1"/>
        <v/>
      </c>
      <c r="X70" s="719" t="str">
        <f t="shared" si="2"/>
        <v/>
      </c>
      <c r="Y70" s="719" t="str">
        <f t="shared" si="3"/>
        <v/>
      </c>
      <c r="Z70" s="719" t="str">
        <f t="shared" si="4"/>
        <v/>
      </c>
      <c r="AA70" s="719" t="str">
        <f t="shared" si="5"/>
        <v/>
      </c>
      <c r="AB70" s="719" t="str">
        <f t="shared" si="6"/>
        <v/>
      </c>
      <c r="AC70" s="681" t="str">
        <f t="shared" si="18"/>
        <v>TFHCV3GAS-N</v>
      </c>
    </row>
    <row r="71" spans="1:29" x14ac:dyDescent="0.25">
      <c r="A71" s="227" t="s">
        <v>1030</v>
      </c>
      <c r="B71" s="220" t="e">
        <f>VLOOKUP($A71,ITEMS_Tech_N!$D$6:$E$122,2,FALSE)</f>
        <v>#N/A</v>
      </c>
      <c r="C71" s="220" t="s">
        <v>1294</v>
      </c>
      <c r="D71" s="711" t="str">
        <f t="shared" si="8"/>
        <v>Other</v>
      </c>
      <c r="E71" s="220" t="s">
        <v>1270</v>
      </c>
      <c r="F71" s="220" t="s">
        <v>1122</v>
      </c>
      <c r="G71" s="220" t="s">
        <v>1115</v>
      </c>
      <c r="H71" s="220" t="s">
        <v>326</v>
      </c>
      <c r="I71" s="656"/>
      <c r="J71" s="661" t="s">
        <v>504</v>
      </c>
      <c r="K71" s="656" t="str">
        <f t="shared" si="19"/>
        <v/>
      </c>
      <c r="L71" s="220"/>
      <c r="M71" s="220"/>
      <c r="N71" s="657" t="str" cm="1">
        <f t="array" ref="N71">IFERROR($K71*INDEX(N$2:N$9,MATCH(1,($L$2:$L$9=$D71)*($M$2:$M$9=$H71),0)),"")</f>
        <v/>
      </c>
      <c r="O71" s="657" t="str" cm="1">
        <f t="array" ref="O71">IFERROR($K71*INDEX(O$2:O$9,MATCH(1,($L$2:$L$9=$D71)*($M$2:$M$9=$H71),0)),"")</f>
        <v/>
      </c>
      <c r="P71" s="657" t="str" cm="1">
        <f t="array" ref="P71">IFERROR($K71*INDEX(P$2:P$9,MATCH(1,($L$2:$L$9=$D71)*($M$2:$M$9=$H71),0)),"")</f>
        <v/>
      </c>
      <c r="Q71" s="657" t="str" cm="1">
        <f t="array" ref="Q71">IFERROR($K71*INDEX(Q$2:Q$9,MATCH(1,($L$2:$L$9=$D71)*($M$2:$M$9=$H71),0)),"")</f>
        <v/>
      </c>
      <c r="R71" s="657" t="str" cm="1">
        <f t="array" ref="R71">IFERROR($K71*INDEX(R$2:R$9,MATCH(1,($L$2:$L$9=$D71)*($M$2:$M$9=$H71),0)),"")</f>
        <v/>
      </c>
      <c r="S71" s="657" t="str" cm="1">
        <f t="array" ref="S71">IFERROR($K71*INDEX(S$2:S$9,MATCH(1,($L$2:$L$9=$D71)*($M$2:$M$9=$H71),0)),"")</f>
        <v/>
      </c>
      <c r="T71" s="657" t="str" cm="1">
        <f t="array" ref="T71">IFERROR($K71*INDEX(T$2:T$9,MATCH(1,($L$2:$L$9=$D71)*($M$2:$M$9=$H71),0)),"")</f>
        <v/>
      </c>
      <c r="U71" s="680">
        <f t="shared" si="9"/>
        <v>2.7E-2</v>
      </c>
      <c r="V71" s="719" t="str">
        <f t="shared" si="10"/>
        <v/>
      </c>
      <c r="W71" s="719" t="str">
        <f t="shared" si="1"/>
        <v/>
      </c>
      <c r="X71" s="719" t="str">
        <f t="shared" si="2"/>
        <v/>
      </c>
      <c r="Y71" s="719" t="str">
        <f t="shared" si="3"/>
        <v/>
      </c>
      <c r="Z71" s="719" t="str">
        <f t="shared" si="4"/>
        <v/>
      </c>
      <c r="AA71" s="719" t="str">
        <f t="shared" si="5"/>
        <v/>
      </c>
      <c r="AB71" s="719" t="str">
        <f t="shared" si="6"/>
        <v/>
      </c>
      <c r="AC71" s="681" t="str">
        <f t="shared" si="18"/>
        <v>TFHCV4GAS-N</v>
      </c>
    </row>
    <row r="72" spans="1:29" x14ac:dyDescent="0.25">
      <c r="A72" s="227" t="s">
        <v>1032</v>
      </c>
      <c r="B72" s="220" t="e">
        <f>VLOOKUP($A72,ITEMS_Tech_N!$D$6:$E$122,2,FALSE)</f>
        <v>#N/A</v>
      </c>
      <c r="C72" s="220" t="s">
        <v>1294</v>
      </c>
      <c r="D72" s="711" t="str">
        <f t="shared" si="8"/>
        <v>Other</v>
      </c>
      <c r="E72" s="220" t="s">
        <v>1271</v>
      </c>
      <c r="F72" s="220" t="s">
        <v>1122</v>
      </c>
      <c r="G72" s="220" t="s">
        <v>1115</v>
      </c>
      <c r="H72" s="220" t="s">
        <v>326</v>
      </c>
      <c r="I72" s="656"/>
      <c r="J72" s="661" t="s">
        <v>504</v>
      </c>
      <c r="K72" s="656" t="str">
        <f t="shared" si="19"/>
        <v/>
      </c>
      <c r="L72" s="220"/>
      <c r="M72" s="220"/>
      <c r="N72" s="657" t="str" cm="1">
        <f t="array" ref="N72">IFERROR($K72*INDEX(N$2:N$9,MATCH(1,($L$2:$L$9=$D72)*($M$2:$M$9=$H72),0)),"")</f>
        <v/>
      </c>
      <c r="O72" s="657" t="str" cm="1">
        <f t="array" ref="O72">IFERROR($K72*INDEX(O$2:O$9,MATCH(1,($L$2:$L$9=$D72)*($M$2:$M$9=$H72),0)),"")</f>
        <v/>
      </c>
      <c r="P72" s="657" t="str" cm="1">
        <f t="array" ref="P72">IFERROR($K72*INDEX(P$2:P$9,MATCH(1,($L$2:$L$9=$D72)*($M$2:$M$9=$H72),0)),"")</f>
        <v/>
      </c>
      <c r="Q72" s="657" t="str" cm="1">
        <f t="array" ref="Q72">IFERROR($K72*INDEX(Q$2:Q$9,MATCH(1,($L$2:$L$9=$D72)*($M$2:$M$9=$H72),0)),"")</f>
        <v/>
      </c>
      <c r="R72" s="657" t="str" cm="1">
        <f t="array" ref="R72">IFERROR($K72*INDEX(R$2:R$9,MATCH(1,($L$2:$L$9=$D72)*($M$2:$M$9=$H72),0)),"")</f>
        <v/>
      </c>
      <c r="S72" s="657" t="str" cm="1">
        <f t="array" ref="S72">IFERROR($K72*INDEX(S$2:S$9,MATCH(1,($L$2:$L$9=$D72)*($M$2:$M$9=$H72),0)),"")</f>
        <v/>
      </c>
      <c r="T72" s="657" t="str" cm="1">
        <f t="array" ref="T72">IFERROR($K72*INDEX(T$2:T$9,MATCH(1,($L$2:$L$9=$D72)*($M$2:$M$9=$H72),0)),"")</f>
        <v/>
      </c>
      <c r="U72" s="680">
        <f t="shared" si="9"/>
        <v>2.7E-2</v>
      </c>
      <c r="V72" s="719" t="str">
        <f t="shared" si="10"/>
        <v/>
      </c>
      <c r="W72" s="719" t="str">
        <f t="shared" si="1"/>
        <v/>
      </c>
      <c r="X72" s="719" t="str">
        <f t="shared" si="2"/>
        <v/>
      </c>
      <c r="Y72" s="719" t="str">
        <f t="shared" si="3"/>
        <v/>
      </c>
      <c r="Z72" s="719" t="str">
        <f t="shared" si="4"/>
        <v/>
      </c>
      <c r="AA72" s="719" t="str">
        <f t="shared" si="5"/>
        <v/>
      </c>
      <c r="AB72" s="719" t="str">
        <f t="shared" si="6"/>
        <v/>
      </c>
      <c r="AC72" s="681" t="str">
        <f t="shared" si="18"/>
        <v>TFHCV5GAS-N</v>
      </c>
    </row>
    <row r="73" spans="1:29" x14ac:dyDescent="0.25">
      <c r="A73" s="227" t="s">
        <v>1034</v>
      </c>
      <c r="B73" s="220" t="e">
        <f>VLOOKUP($A73,ITEMS_Tech_N!$D$6:$E$122,2,FALSE)</f>
        <v>#N/A</v>
      </c>
      <c r="C73" s="220" t="s">
        <v>1294</v>
      </c>
      <c r="D73" s="711" t="str">
        <f t="shared" si="8"/>
        <v>Other</v>
      </c>
      <c r="E73" s="220" t="s">
        <v>1272</v>
      </c>
      <c r="F73" s="220" t="s">
        <v>1122</v>
      </c>
      <c r="G73" s="220" t="s">
        <v>1115</v>
      </c>
      <c r="H73" s="220" t="s">
        <v>326</v>
      </c>
      <c r="I73" s="656"/>
      <c r="J73" s="661" t="s">
        <v>504</v>
      </c>
      <c r="K73" s="656" t="str">
        <f t="shared" si="19"/>
        <v/>
      </c>
      <c r="L73" s="220"/>
      <c r="M73" s="220"/>
      <c r="N73" s="657" t="str" cm="1">
        <f t="array" ref="N73">IFERROR($K73*INDEX(N$2:N$9,MATCH(1,($L$2:$L$9=$D73)*($M$2:$M$9=$H73),0)),"")</f>
        <v/>
      </c>
      <c r="O73" s="657" t="str" cm="1">
        <f t="array" ref="O73">IFERROR($K73*INDEX(O$2:O$9,MATCH(1,($L$2:$L$9=$D73)*($M$2:$M$9=$H73),0)),"")</f>
        <v/>
      </c>
      <c r="P73" s="657" t="str" cm="1">
        <f t="array" ref="P73">IFERROR($K73*INDEX(P$2:P$9,MATCH(1,($L$2:$L$9=$D73)*($M$2:$M$9=$H73),0)),"")</f>
        <v/>
      </c>
      <c r="Q73" s="657" t="str" cm="1">
        <f t="array" ref="Q73">IFERROR($K73*INDEX(Q$2:Q$9,MATCH(1,($L$2:$L$9=$D73)*($M$2:$M$9=$H73),0)),"")</f>
        <v/>
      </c>
      <c r="R73" s="657" t="str" cm="1">
        <f t="array" ref="R73">IFERROR($K73*INDEX(R$2:R$9,MATCH(1,($L$2:$L$9=$D73)*($M$2:$M$9=$H73),0)),"")</f>
        <v/>
      </c>
      <c r="S73" s="657" t="str" cm="1">
        <f t="array" ref="S73">IFERROR($K73*INDEX(S$2:S$9,MATCH(1,($L$2:$L$9=$D73)*($M$2:$M$9=$H73),0)),"")</f>
        <v/>
      </c>
      <c r="T73" s="657" t="str" cm="1">
        <f t="array" ref="T73">IFERROR($K73*INDEX(T$2:T$9,MATCH(1,($L$2:$L$9=$D73)*($M$2:$M$9=$H73),0)),"")</f>
        <v/>
      </c>
      <c r="U73" s="680">
        <f t="shared" si="9"/>
        <v>2.7E-2</v>
      </c>
      <c r="V73" s="719" t="str">
        <f t="shared" si="10"/>
        <v/>
      </c>
      <c r="W73" s="719" t="str">
        <f t="shared" si="1"/>
        <v/>
      </c>
      <c r="X73" s="719" t="str">
        <f t="shared" si="2"/>
        <v/>
      </c>
      <c r="Y73" s="719" t="str">
        <f t="shared" si="3"/>
        <v/>
      </c>
      <c r="Z73" s="719" t="str">
        <f t="shared" si="4"/>
        <v/>
      </c>
      <c r="AA73" s="719" t="str">
        <f t="shared" si="5"/>
        <v/>
      </c>
      <c r="AB73" s="719" t="str">
        <f t="shared" si="6"/>
        <v/>
      </c>
      <c r="AC73" s="681" t="str">
        <f t="shared" si="18"/>
        <v>TFHCV6GAS-N</v>
      </c>
    </row>
    <row r="74" spans="1:29" x14ac:dyDescent="0.25">
      <c r="A74" s="227" t="s">
        <v>1036</v>
      </c>
      <c r="B74" s="220" t="e">
        <f>VLOOKUP($A74,ITEMS_Tech_N!$D$6:$E$122,2,FALSE)</f>
        <v>#N/A</v>
      </c>
      <c r="C74" s="220" t="s">
        <v>1294</v>
      </c>
      <c r="D74" s="711" t="str">
        <f t="shared" si="8"/>
        <v>Other</v>
      </c>
      <c r="E74" s="220" t="s">
        <v>1273</v>
      </c>
      <c r="F74" s="220" t="s">
        <v>1123</v>
      </c>
      <c r="G74" s="220" t="s">
        <v>1115</v>
      </c>
      <c r="H74" s="220" t="s">
        <v>326</v>
      </c>
      <c r="I74" s="656"/>
      <c r="J74" s="661" t="s">
        <v>504</v>
      </c>
      <c r="K74" s="656" t="str">
        <f t="shared" si="19"/>
        <v/>
      </c>
      <c r="L74" s="220"/>
      <c r="M74" s="220"/>
      <c r="N74" s="657" t="str" cm="1">
        <f t="array" ref="N74">IFERROR($K74*INDEX(N$2:N$9,MATCH(1,($L$2:$L$9=$D74)*($M$2:$M$9=$H74),0)),"")</f>
        <v/>
      </c>
      <c r="O74" s="657" t="str" cm="1">
        <f t="array" ref="O74">IFERROR($K74*INDEX(O$2:O$9,MATCH(1,($L$2:$L$9=$D74)*($M$2:$M$9=$H74),0)),"")</f>
        <v/>
      </c>
      <c r="P74" s="657" t="str" cm="1">
        <f t="array" ref="P74">IFERROR($K74*INDEX(P$2:P$9,MATCH(1,($L$2:$L$9=$D74)*($M$2:$M$9=$H74),0)),"")</f>
        <v/>
      </c>
      <c r="Q74" s="657" t="str" cm="1">
        <f t="array" ref="Q74">IFERROR($K74*INDEX(Q$2:Q$9,MATCH(1,($L$2:$L$9=$D74)*($M$2:$M$9=$H74),0)),"")</f>
        <v/>
      </c>
      <c r="R74" s="657" t="str" cm="1">
        <f t="array" ref="R74">IFERROR($K74*INDEX(R$2:R$9,MATCH(1,($L$2:$L$9=$D74)*($M$2:$M$9=$H74),0)),"")</f>
        <v/>
      </c>
      <c r="S74" s="657" t="str" cm="1">
        <f t="array" ref="S74">IFERROR($K74*INDEX(S$2:S$9,MATCH(1,($L$2:$L$9=$D74)*($M$2:$M$9=$H74),0)),"")</f>
        <v/>
      </c>
      <c r="T74" s="657" t="str" cm="1">
        <f t="array" ref="T74">IFERROR($K74*INDEX(T$2:T$9,MATCH(1,($L$2:$L$9=$D74)*($M$2:$M$9=$H74),0)),"")</f>
        <v/>
      </c>
      <c r="U74" s="680">
        <f t="shared" si="9"/>
        <v>2.7E-2</v>
      </c>
      <c r="V74" s="719" t="str">
        <f t="shared" si="10"/>
        <v/>
      </c>
      <c r="W74" s="719" t="str">
        <f t="shared" si="1"/>
        <v/>
      </c>
      <c r="X74" s="719" t="str">
        <f t="shared" si="2"/>
        <v/>
      </c>
      <c r="Y74" s="719" t="str">
        <f t="shared" si="3"/>
        <v/>
      </c>
      <c r="Z74" s="719" t="str">
        <f t="shared" si="4"/>
        <v/>
      </c>
      <c r="AA74" s="719" t="str">
        <f t="shared" si="5"/>
        <v/>
      </c>
      <c r="AB74" s="719" t="str">
        <f t="shared" si="6"/>
        <v/>
      </c>
      <c r="AC74" s="681" t="str">
        <f t="shared" si="18"/>
        <v>TFHCV7GAS-N</v>
      </c>
    </row>
    <row r="75" spans="1:29" x14ac:dyDescent="0.25">
      <c r="A75" s="227" t="s">
        <v>1038</v>
      </c>
      <c r="B75" s="220" t="e">
        <f>VLOOKUP($A75,ITEMS_Tech_N!$D$6:$E$122,2,FALSE)</f>
        <v>#N/A</v>
      </c>
      <c r="C75" s="220" t="s">
        <v>1294</v>
      </c>
      <c r="D75" s="711" t="str">
        <f t="shared" si="8"/>
        <v>Other</v>
      </c>
      <c r="E75" s="220" t="s">
        <v>1274</v>
      </c>
      <c r="F75" s="220" t="s">
        <v>1123</v>
      </c>
      <c r="G75" s="220" t="s">
        <v>1115</v>
      </c>
      <c r="H75" s="220" t="s">
        <v>326</v>
      </c>
      <c r="I75" s="656"/>
      <c r="J75" s="661" t="s">
        <v>504</v>
      </c>
      <c r="K75" s="656" t="str">
        <f t="shared" si="19"/>
        <v/>
      </c>
      <c r="L75" s="220"/>
      <c r="M75" s="220"/>
      <c r="N75" s="657" t="str" cm="1">
        <f t="array" ref="N75">IFERROR($K75*INDEX(N$2:N$9,MATCH(1,($L$2:$L$9=$D75)*($M$2:$M$9=$H75),0)),"")</f>
        <v/>
      </c>
      <c r="O75" s="657" t="str" cm="1">
        <f t="array" ref="O75">IFERROR($K75*INDEX(O$2:O$9,MATCH(1,($L$2:$L$9=$D75)*($M$2:$M$9=$H75),0)),"")</f>
        <v/>
      </c>
      <c r="P75" s="657" t="str" cm="1">
        <f t="array" ref="P75">IFERROR($K75*INDEX(P$2:P$9,MATCH(1,($L$2:$L$9=$D75)*($M$2:$M$9=$H75),0)),"")</f>
        <v/>
      </c>
      <c r="Q75" s="657" t="str" cm="1">
        <f t="array" ref="Q75">IFERROR($K75*INDEX(Q$2:Q$9,MATCH(1,($L$2:$L$9=$D75)*($M$2:$M$9=$H75),0)),"")</f>
        <v/>
      </c>
      <c r="R75" s="657" t="str" cm="1">
        <f t="array" ref="R75">IFERROR($K75*INDEX(R$2:R$9,MATCH(1,($L$2:$L$9=$D75)*($M$2:$M$9=$H75),0)),"")</f>
        <v/>
      </c>
      <c r="S75" s="657" t="str" cm="1">
        <f t="array" ref="S75">IFERROR($K75*INDEX(S$2:S$9,MATCH(1,($L$2:$L$9=$D75)*($M$2:$M$9=$H75),0)),"")</f>
        <v/>
      </c>
      <c r="T75" s="657" t="str" cm="1">
        <f t="array" ref="T75">IFERROR($K75*INDEX(T$2:T$9,MATCH(1,($L$2:$L$9=$D75)*($M$2:$M$9=$H75),0)),"")</f>
        <v/>
      </c>
      <c r="U75" s="680">
        <f t="shared" si="9"/>
        <v>2.7E-2</v>
      </c>
      <c r="V75" s="719" t="str">
        <f t="shared" si="10"/>
        <v/>
      </c>
      <c r="W75" s="719" t="str">
        <f t="shared" si="1"/>
        <v/>
      </c>
      <c r="X75" s="719" t="str">
        <f t="shared" si="2"/>
        <v/>
      </c>
      <c r="Y75" s="719" t="str">
        <f t="shared" si="3"/>
        <v/>
      </c>
      <c r="Z75" s="719" t="str">
        <f t="shared" si="4"/>
        <v/>
      </c>
      <c r="AA75" s="719" t="str">
        <f t="shared" si="5"/>
        <v/>
      </c>
      <c r="AB75" s="719" t="str">
        <f t="shared" si="6"/>
        <v/>
      </c>
      <c r="AC75" s="681" t="str">
        <f t="shared" si="18"/>
        <v>TFHCV8GAS-N</v>
      </c>
    </row>
    <row r="76" spans="1:29" x14ac:dyDescent="0.25">
      <c r="A76" s="227" t="s">
        <v>1040</v>
      </c>
      <c r="B76" s="220" t="e">
        <f>VLOOKUP($A76,ITEMS_Tech_N!$D$6:$E$122,2,FALSE)</f>
        <v>#N/A</v>
      </c>
      <c r="C76" s="220" t="s">
        <v>1294</v>
      </c>
      <c r="D76" s="711" t="str">
        <f t="shared" si="8"/>
        <v>Other</v>
      </c>
      <c r="E76" s="220" t="s">
        <v>1275</v>
      </c>
      <c r="F76" s="220" t="s">
        <v>1123</v>
      </c>
      <c r="G76" s="220" t="s">
        <v>1115</v>
      </c>
      <c r="H76" s="220" t="s">
        <v>326</v>
      </c>
      <c r="I76" s="656"/>
      <c r="J76" s="661" t="s">
        <v>504</v>
      </c>
      <c r="K76" s="656" t="str">
        <f t="shared" si="19"/>
        <v/>
      </c>
      <c r="L76" s="220"/>
      <c r="M76" s="220"/>
      <c r="N76" s="657" t="str" cm="1">
        <f t="array" ref="N76">IFERROR($K76*INDEX(N$2:N$9,MATCH(1,($L$2:$L$9=$D76)*($M$2:$M$9=$H76),0)),"")</f>
        <v/>
      </c>
      <c r="O76" s="657" t="str" cm="1">
        <f t="array" ref="O76">IFERROR($K76*INDEX(O$2:O$9,MATCH(1,($L$2:$L$9=$D76)*($M$2:$M$9=$H76),0)),"")</f>
        <v/>
      </c>
      <c r="P76" s="657" t="str" cm="1">
        <f t="array" ref="P76">IFERROR($K76*INDEX(P$2:P$9,MATCH(1,($L$2:$L$9=$D76)*($M$2:$M$9=$H76),0)),"")</f>
        <v/>
      </c>
      <c r="Q76" s="657" t="str" cm="1">
        <f t="array" ref="Q76">IFERROR($K76*INDEX(Q$2:Q$9,MATCH(1,($L$2:$L$9=$D76)*($M$2:$M$9=$H76),0)),"")</f>
        <v/>
      </c>
      <c r="R76" s="657" t="str" cm="1">
        <f t="array" ref="R76">IFERROR($K76*INDEX(R$2:R$9,MATCH(1,($L$2:$L$9=$D76)*($M$2:$M$9=$H76),0)),"")</f>
        <v/>
      </c>
      <c r="S76" s="657" t="str" cm="1">
        <f t="array" ref="S76">IFERROR($K76*INDEX(S$2:S$9,MATCH(1,($L$2:$L$9=$D76)*($M$2:$M$9=$H76),0)),"")</f>
        <v/>
      </c>
      <c r="T76" s="657" t="str" cm="1">
        <f t="array" ref="T76">IFERROR($K76*INDEX(T$2:T$9,MATCH(1,($L$2:$L$9=$D76)*($M$2:$M$9=$H76),0)),"")</f>
        <v/>
      </c>
      <c r="U76" s="680">
        <f t="shared" si="9"/>
        <v>2.7E-2</v>
      </c>
      <c r="V76" s="719" t="str">
        <f t="shared" si="10"/>
        <v/>
      </c>
      <c r="W76" s="719" t="str">
        <f t="shared" si="1"/>
        <v/>
      </c>
      <c r="X76" s="719" t="str">
        <f t="shared" si="2"/>
        <v/>
      </c>
      <c r="Y76" s="719" t="str">
        <f t="shared" si="3"/>
        <v/>
      </c>
      <c r="Z76" s="719" t="str">
        <f t="shared" si="4"/>
        <v/>
      </c>
      <c r="AA76" s="719" t="str">
        <f t="shared" si="5"/>
        <v/>
      </c>
      <c r="AB76" s="719" t="str">
        <f t="shared" si="6"/>
        <v/>
      </c>
      <c r="AC76" s="681" t="str">
        <f t="shared" si="18"/>
        <v>TFHCV9GAS-N</v>
      </c>
    </row>
    <row r="77" spans="1:29" x14ac:dyDescent="0.25">
      <c r="A77" s="227" t="s">
        <v>1042</v>
      </c>
      <c r="B77" s="220" t="str">
        <f>VLOOKUP($A77,ITEMS_Tech_N!$D$6:$E$122,2,FALSE)</f>
        <v>Transport Freight - HCV1 Electricity-N</v>
      </c>
      <c r="C77" s="220" t="s">
        <v>1294</v>
      </c>
      <c r="D77" s="711" t="str">
        <f t="shared" si="8"/>
        <v>Other</v>
      </c>
      <c r="E77" s="220" t="s">
        <v>1267</v>
      </c>
      <c r="F77" s="220" t="s">
        <v>1120</v>
      </c>
      <c r="G77" s="220" t="s">
        <v>1117</v>
      </c>
      <c r="H77" s="220" t="s">
        <v>1117</v>
      </c>
      <c r="I77" s="656"/>
      <c r="J77" s="733">
        <f t="shared" ref="J77:J81" si="20">J59*J$83/J$65</f>
        <v>1395808.2482856314</v>
      </c>
      <c r="K77" s="733">
        <f t="shared" si="19"/>
        <v>1241796.3911767914</v>
      </c>
      <c r="L77" s="734" t="s">
        <v>1199</v>
      </c>
      <c r="M77" s="659" t="s">
        <v>1211</v>
      </c>
      <c r="N77" s="657" cm="1">
        <f t="array" ref="N77">IFERROR($K77*INDEX(N$2:N$9,MATCH(1,($L$2:$L$9=$D77)*($M$2:$M$9=$H77),0)),"")</f>
        <v>1424358.0051975064</v>
      </c>
      <c r="O77" s="657" cm="1">
        <f t="array" ref="O77">IFERROR($K77*INDEX(O$2:O$9,MATCH(1,($L$2:$L$9=$D77)*($M$2:$M$9=$H77),0)),"")</f>
        <v>1117902.7922164621</v>
      </c>
      <c r="P77" s="657" cm="1">
        <f t="array" ref="P77">IFERROR($K77*INDEX(P$2:P$9,MATCH(1,($L$2:$L$9=$D77)*($M$2:$M$9=$H77),0)),"")</f>
        <v>904629.87864086055</v>
      </c>
      <c r="Q77" s="657" cm="1">
        <f t="array" ref="Q77">IFERROR($K77*INDEX(Q$2:Q$9,MATCH(1,($L$2:$L$9=$D77)*($M$2:$M$9=$H77),0)),"")</f>
        <v>854146.70387714752</v>
      </c>
      <c r="R77" s="657" cm="1">
        <f t="array" ref="R77">IFERROR($K77*INDEX(R$2:R$9,MATCH(1,($L$2:$L$9=$D77)*($M$2:$M$9=$H77),0)),"")</f>
        <v>803663.5291134353</v>
      </c>
      <c r="S77" s="657" cm="1">
        <f t="array" ref="S77">IFERROR($K77*INDEX(S$2:S$9,MATCH(1,($L$2:$L$9=$D77)*($M$2:$M$9=$H77),0)),"")</f>
        <v>788674.21687176451</v>
      </c>
      <c r="T77" s="657" cm="1">
        <f t="array" ref="T77">IFERROR($K77*INDEX(T$2:T$9,MATCH(1,($L$2:$L$9=$D77)*($M$2:$M$9=$H77),0)),"")</f>
        <v>773684.9046300936</v>
      </c>
      <c r="U77" s="680">
        <f t="shared" si="9"/>
        <v>1.9E-2</v>
      </c>
      <c r="V77" s="719">
        <f t="shared" si="10"/>
        <v>27062.802098752622</v>
      </c>
      <c r="W77" s="719">
        <f t="shared" si="1"/>
        <v>21240.153052112779</v>
      </c>
      <c r="X77" s="719">
        <f t="shared" si="2"/>
        <v>17187.96769417635</v>
      </c>
      <c r="Y77" s="719">
        <f t="shared" si="3"/>
        <v>16228.787373665802</v>
      </c>
      <c r="Z77" s="719">
        <f t="shared" si="4"/>
        <v>15269.60705315527</v>
      </c>
      <c r="AA77" s="719">
        <f t="shared" si="5"/>
        <v>14984.810120563525</v>
      </c>
      <c r="AB77" s="719">
        <f t="shared" si="6"/>
        <v>14700.013187971777</v>
      </c>
      <c r="AC77" s="681" t="str">
        <f t="shared" si="18"/>
        <v>TFHCV1ELC-N</v>
      </c>
    </row>
    <row r="78" spans="1:29" x14ac:dyDescent="0.25">
      <c r="A78" s="227" t="s">
        <v>1044</v>
      </c>
      <c r="B78" s="220" t="str">
        <f>VLOOKUP($A78,ITEMS_Tech_N!$D$6:$E$122,2,FALSE)</f>
        <v>Transport Freight - HCV2 Electricity-N</v>
      </c>
      <c r="C78" s="220" t="s">
        <v>1294</v>
      </c>
      <c r="D78" s="711" t="str">
        <f t="shared" si="8"/>
        <v>Other</v>
      </c>
      <c r="E78" s="220" t="s">
        <v>1268</v>
      </c>
      <c r="F78" s="220" t="s">
        <v>1120</v>
      </c>
      <c r="G78" s="220" t="s">
        <v>1117</v>
      </c>
      <c r="H78" s="220" t="s">
        <v>1117</v>
      </c>
      <c r="I78" s="656"/>
      <c r="J78" s="733">
        <f t="shared" si="20"/>
        <v>1395808.2482856314</v>
      </c>
      <c r="K78" s="733">
        <f t="shared" si="19"/>
        <v>1241796.3911767914</v>
      </c>
      <c r="L78" s="734" t="s">
        <v>1199</v>
      </c>
      <c r="M78" s="659" t="s">
        <v>1211</v>
      </c>
      <c r="N78" s="657" cm="1">
        <f t="array" ref="N78">IFERROR($K78*INDEX(N$2:N$9,MATCH(1,($L$2:$L$9=$D78)*($M$2:$M$9=$H78),0)),"")</f>
        <v>1424358.0051975064</v>
      </c>
      <c r="O78" s="657" cm="1">
        <f t="array" ref="O78">IFERROR($K78*INDEX(O$2:O$9,MATCH(1,($L$2:$L$9=$D78)*($M$2:$M$9=$H78),0)),"")</f>
        <v>1117902.7922164621</v>
      </c>
      <c r="P78" s="657" cm="1">
        <f t="array" ref="P78">IFERROR($K78*INDEX(P$2:P$9,MATCH(1,($L$2:$L$9=$D78)*($M$2:$M$9=$H78),0)),"")</f>
        <v>904629.87864086055</v>
      </c>
      <c r="Q78" s="657" cm="1">
        <f t="array" ref="Q78">IFERROR($K78*INDEX(Q$2:Q$9,MATCH(1,($L$2:$L$9=$D78)*($M$2:$M$9=$H78),0)),"")</f>
        <v>854146.70387714752</v>
      </c>
      <c r="R78" s="657" cm="1">
        <f t="array" ref="R78">IFERROR($K78*INDEX(R$2:R$9,MATCH(1,($L$2:$L$9=$D78)*($M$2:$M$9=$H78),0)),"")</f>
        <v>803663.5291134353</v>
      </c>
      <c r="S78" s="657" cm="1">
        <f t="array" ref="S78">IFERROR($K78*INDEX(S$2:S$9,MATCH(1,($L$2:$L$9=$D78)*($M$2:$M$9=$H78),0)),"")</f>
        <v>788674.21687176451</v>
      </c>
      <c r="T78" s="657" cm="1">
        <f t="array" ref="T78">IFERROR($K78*INDEX(T$2:T$9,MATCH(1,($L$2:$L$9=$D78)*($M$2:$M$9=$H78),0)),"")</f>
        <v>773684.9046300936</v>
      </c>
      <c r="U78" s="680">
        <f t="shared" si="9"/>
        <v>1.9E-2</v>
      </c>
      <c r="V78" s="719">
        <f t="shared" si="10"/>
        <v>27062.802098752622</v>
      </c>
      <c r="W78" s="719">
        <f t="shared" si="1"/>
        <v>21240.153052112779</v>
      </c>
      <c r="X78" s="719">
        <f t="shared" si="2"/>
        <v>17187.96769417635</v>
      </c>
      <c r="Y78" s="719">
        <f t="shared" si="3"/>
        <v>16228.787373665802</v>
      </c>
      <c r="Z78" s="719">
        <f t="shared" si="4"/>
        <v>15269.60705315527</v>
      </c>
      <c r="AA78" s="719">
        <f t="shared" si="5"/>
        <v>14984.810120563525</v>
      </c>
      <c r="AB78" s="719">
        <f t="shared" si="6"/>
        <v>14700.013187971777</v>
      </c>
      <c r="AC78" s="681" t="str">
        <f t="shared" si="18"/>
        <v>TFHCV2ELC-N</v>
      </c>
    </row>
    <row r="79" spans="1:29" x14ac:dyDescent="0.25">
      <c r="A79" s="227" t="s">
        <v>1046</v>
      </c>
      <c r="B79" s="220" t="str">
        <f>VLOOKUP($A79,ITEMS_Tech_N!$D$6:$E$122,2,FALSE)</f>
        <v>Transport Freight - HCV3 Electricity-N</v>
      </c>
      <c r="C79" s="220" t="s">
        <v>1294</v>
      </c>
      <c r="D79" s="711" t="str">
        <f t="shared" si="8"/>
        <v>Other</v>
      </c>
      <c r="E79" s="220" t="s">
        <v>1269</v>
      </c>
      <c r="F79" s="220" t="s">
        <v>1120</v>
      </c>
      <c r="G79" s="220" t="s">
        <v>1117</v>
      </c>
      <c r="H79" s="220" t="s">
        <v>1117</v>
      </c>
      <c r="I79" s="656"/>
      <c r="J79" s="733">
        <f t="shared" si="20"/>
        <v>1395808.2482856314</v>
      </c>
      <c r="K79" s="733">
        <f t="shared" ref="K79:K93" si="21">IFERROR(J79/$K$11,"")</f>
        <v>1241796.3911767914</v>
      </c>
      <c r="L79" s="734" t="s">
        <v>1199</v>
      </c>
      <c r="M79" s="659" t="s">
        <v>1211</v>
      </c>
      <c r="N79" s="657" cm="1">
        <f t="array" ref="N79">IFERROR($K79*INDEX(N$2:N$9,MATCH(1,($L$2:$L$9=$D79)*($M$2:$M$9=$H79),0)),"")</f>
        <v>1424358.0051975064</v>
      </c>
      <c r="O79" s="657" cm="1">
        <f t="array" ref="O79">IFERROR($K79*INDEX(O$2:O$9,MATCH(1,($L$2:$L$9=$D79)*($M$2:$M$9=$H79),0)),"")</f>
        <v>1117902.7922164621</v>
      </c>
      <c r="P79" s="657" cm="1">
        <f t="array" ref="P79">IFERROR($K79*INDEX(P$2:P$9,MATCH(1,($L$2:$L$9=$D79)*($M$2:$M$9=$H79),0)),"")</f>
        <v>904629.87864086055</v>
      </c>
      <c r="Q79" s="657" cm="1">
        <f t="array" ref="Q79">IFERROR($K79*INDEX(Q$2:Q$9,MATCH(1,($L$2:$L$9=$D79)*($M$2:$M$9=$H79),0)),"")</f>
        <v>854146.70387714752</v>
      </c>
      <c r="R79" s="657" cm="1">
        <f t="array" ref="R79">IFERROR($K79*INDEX(R$2:R$9,MATCH(1,($L$2:$L$9=$D79)*($M$2:$M$9=$H79),0)),"")</f>
        <v>803663.5291134353</v>
      </c>
      <c r="S79" s="657" cm="1">
        <f t="array" ref="S79">IFERROR($K79*INDEX(S$2:S$9,MATCH(1,($L$2:$L$9=$D79)*($M$2:$M$9=$H79),0)),"")</f>
        <v>788674.21687176451</v>
      </c>
      <c r="T79" s="657" cm="1">
        <f t="array" ref="T79">IFERROR($K79*INDEX(T$2:T$9,MATCH(1,($L$2:$L$9=$D79)*($M$2:$M$9=$H79),0)),"")</f>
        <v>773684.9046300936</v>
      </c>
      <c r="U79" s="680">
        <f t="shared" si="9"/>
        <v>1.9E-2</v>
      </c>
      <c r="V79" s="719">
        <f t="shared" si="10"/>
        <v>27062.802098752622</v>
      </c>
      <c r="W79" s="719">
        <f t="shared" ref="W79:W93" si="22">IFERROR(O79*$U79,"")</f>
        <v>21240.153052112779</v>
      </c>
      <c r="X79" s="719">
        <f t="shared" ref="X79:X93" si="23">IFERROR(P79*$U79,"")</f>
        <v>17187.96769417635</v>
      </c>
      <c r="Y79" s="719">
        <f t="shared" ref="Y79:Y93" si="24">IFERROR(Q79*$U79,"")</f>
        <v>16228.787373665802</v>
      </c>
      <c r="Z79" s="719">
        <f t="shared" ref="Z79:Z93" si="25">IFERROR(R79*$U79,"")</f>
        <v>15269.60705315527</v>
      </c>
      <c r="AA79" s="719">
        <f t="shared" ref="AA79:AA93" si="26">IFERROR(S79*$U79,"")</f>
        <v>14984.810120563525</v>
      </c>
      <c r="AB79" s="719">
        <f t="shared" ref="AB79:AB93" si="27">IFERROR(T79*$U79,"")</f>
        <v>14700.013187971777</v>
      </c>
      <c r="AC79" s="681" t="str">
        <f t="shared" si="18"/>
        <v>TFHCV3ELC-N</v>
      </c>
    </row>
    <row r="80" spans="1:29" x14ac:dyDescent="0.25">
      <c r="A80" s="227" t="s">
        <v>1048</v>
      </c>
      <c r="B80" s="220" t="str">
        <f>VLOOKUP($A80,ITEMS_Tech_N!$D$6:$E$122,2,FALSE)</f>
        <v>Transport Freight - HCV4 Electricity-N</v>
      </c>
      <c r="C80" s="220" t="s">
        <v>1294</v>
      </c>
      <c r="D80" s="711" t="str">
        <f t="shared" ref="D80:D102" si="28">IF(C80="PassPriv",C80,"Other")</f>
        <v>Other</v>
      </c>
      <c r="E80" s="220" t="s">
        <v>1270</v>
      </c>
      <c r="F80" s="220" t="s">
        <v>1122</v>
      </c>
      <c r="G80" s="642" t="s">
        <v>1117</v>
      </c>
      <c r="H80" s="220" t="s">
        <v>1117</v>
      </c>
      <c r="I80" s="656"/>
      <c r="J80" s="733">
        <f t="shared" si="20"/>
        <v>2677500</v>
      </c>
      <c r="K80" s="733">
        <f t="shared" si="21"/>
        <v>2382067.7671589926</v>
      </c>
      <c r="L80" s="734" t="s">
        <v>1199</v>
      </c>
      <c r="M80" s="659" t="s">
        <v>1211</v>
      </c>
      <c r="N80" s="657" cm="1">
        <f t="array" ref="N80">IFERROR($K80*INDEX(N$2:N$9,MATCH(1,($L$2:$L$9=$D80)*($M$2:$M$9=$H80),0)),"")</f>
        <v>2732265.3835872035</v>
      </c>
      <c r="O80" s="657" cm="1">
        <f t="array" ref="O80">IFERROR($K80*INDEX(O$2:O$9,MATCH(1,($L$2:$L$9=$D80)*($M$2:$M$9=$H80),0)),"")</f>
        <v>2144409.6850952739</v>
      </c>
      <c r="P80" s="657" cm="1">
        <f t="array" ref="P80">IFERROR($K80*INDEX(P$2:P$9,MATCH(1,($L$2:$L$9=$D80)*($M$2:$M$9=$H80),0)),"")</f>
        <v>1735300.3201090465</v>
      </c>
      <c r="Q80" s="657" cm="1">
        <f t="array" ref="Q80">IFERROR($K80*INDEX(Q$2:Q$9,MATCH(1,($L$2:$L$9=$D80)*($M$2:$M$9=$H80),0)),"")</f>
        <v>1638461.3018586105</v>
      </c>
      <c r="R80" s="657" cm="1">
        <f t="array" ref="R80">IFERROR($K80*INDEX(R$2:R$9,MATCH(1,($L$2:$L$9=$D80)*($M$2:$M$9=$H80),0)),"")</f>
        <v>1541622.283608176</v>
      </c>
      <c r="S80" s="657" cm="1">
        <f t="array" ref="S80">IFERROR($K80*INDEX(S$2:S$9,MATCH(1,($L$2:$L$9=$D80)*($M$2:$M$9=$H80),0)),"")</f>
        <v>1512869.1338998496</v>
      </c>
      <c r="T80" s="657" cm="1">
        <f t="array" ref="T80">IFERROR($K80*INDEX(T$2:T$9,MATCH(1,($L$2:$L$9=$D80)*($M$2:$M$9=$H80),0)),"")</f>
        <v>1484115.9841915229</v>
      </c>
      <c r="U80" s="680">
        <f t="shared" ref="U80:U93" si="29">IF($H80="BEV",0.019,0.027)</f>
        <v>1.9E-2</v>
      </c>
      <c r="V80" s="719">
        <f t="shared" ref="V80:V93" si="30">IFERROR(N80*$U80,"")</f>
        <v>51913.042288156867</v>
      </c>
      <c r="W80" s="719">
        <f t="shared" si="22"/>
        <v>40743.784016810205</v>
      </c>
      <c r="X80" s="719">
        <f t="shared" si="23"/>
        <v>32970.706082071883</v>
      </c>
      <c r="Y80" s="719">
        <f t="shared" si="24"/>
        <v>31130.764735313598</v>
      </c>
      <c r="Z80" s="719">
        <f t="shared" si="25"/>
        <v>29290.823388555345</v>
      </c>
      <c r="AA80" s="719">
        <f t="shared" si="26"/>
        <v>28744.513544097143</v>
      </c>
      <c r="AB80" s="719">
        <f t="shared" si="27"/>
        <v>28198.203699638936</v>
      </c>
      <c r="AC80" s="681" t="str">
        <f t="shared" ref="AC80:AC102" si="31">A80</f>
        <v>TFHCV4ELC-N</v>
      </c>
    </row>
    <row r="81" spans="1:29" x14ac:dyDescent="0.25">
      <c r="A81" s="227" t="s">
        <v>1050</v>
      </c>
      <c r="B81" s="220" t="str">
        <f>VLOOKUP($A81,ITEMS_Tech_N!$D$6:$E$122,2,FALSE)</f>
        <v>Transport Freight - HCV5 Electricity-N</v>
      </c>
      <c r="C81" s="220" t="s">
        <v>1294</v>
      </c>
      <c r="D81" s="711" t="str">
        <f t="shared" si="28"/>
        <v>Other</v>
      </c>
      <c r="E81" s="220" t="s">
        <v>1271</v>
      </c>
      <c r="F81" s="220" t="s">
        <v>1122</v>
      </c>
      <c r="G81" s="642" t="s">
        <v>1117</v>
      </c>
      <c r="H81" s="220" t="s">
        <v>1117</v>
      </c>
      <c r="I81" s="656"/>
      <c r="J81" s="733">
        <f t="shared" si="20"/>
        <v>2677500</v>
      </c>
      <c r="K81" s="733">
        <f t="shared" si="21"/>
        <v>2382067.7671589926</v>
      </c>
      <c r="L81" s="734" t="s">
        <v>1199</v>
      </c>
      <c r="M81" s="659" t="s">
        <v>1211</v>
      </c>
      <c r="N81" s="657" cm="1">
        <f t="array" ref="N81">IFERROR($K81*INDEX(N$2:N$9,MATCH(1,($L$2:$L$9=$D81)*($M$2:$M$9=$H81),0)),"")</f>
        <v>2732265.3835872035</v>
      </c>
      <c r="O81" s="657" cm="1">
        <f t="array" ref="O81">IFERROR($K81*INDEX(O$2:O$9,MATCH(1,($L$2:$L$9=$D81)*($M$2:$M$9=$H81),0)),"")</f>
        <v>2144409.6850952739</v>
      </c>
      <c r="P81" s="657" cm="1">
        <f t="array" ref="P81">IFERROR($K81*INDEX(P$2:P$9,MATCH(1,($L$2:$L$9=$D81)*($M$2:$M$9=$H81),0)),"")</f>
        <v>1735300.3201090465</v>
      </c>
      <c r="Q81" s="657" cm="1">
        <f t="array" ref="Q81">IFERROR($K81*INDEX(Q$2:Q$9,MATCH(1,($L$2:$L$9=$D81)*($M$2:$M$9=$H81),0)),"")</f>
        <v>1638461.3018586105</v>
      </c>
      <c r="R81" s="657" cm="1">
        <f t="array" ref="R81">IFERROR($K81*INDEX(R$2:R$9,MATCH(1,($L$2:$L$9=$D81)*($M$2:$M$9=$H81),0)),"")</f>
        <v>1541622.283608176</v>
      </c>
      <c r="S81" s="657" cm="1">
        <f t="array" ref="S81">IFERROR($K81*INDEX(S$2:S$9,MATCH(1,($L$2:$L$9=$D81)*($M$2:$M$9=$H81),0)),"")</f>
        <v>1512869.1338998496</v>
      </c>
      <c r="T81" s="657" cm="1">
        <f t="array" ref="T81">IFERROR($K81*INDEX(T$2:T$9,MATCH(1,($L$2:$L$9=$D81)*($M$2:$M$9=$H81),0)),"")</f>
        <v>1484115.9841915229</v>
      </c>
      <c r="U81" s="680">
        <f t="shared" si="29"/>
        <v>1.9E-2</v>
      </c>
      <c r="V81" s="719">
        <f t="shared" si="30"/>
        <v>51913.042288156867</v>
      </c>
      <c r="W81" s="719">
        <f t="shared" si="22"/>
        <v>40743.784016810205</v>
      </c>
      <c r="X81" s="719">
        <f t="shared" si="23"/>
        <v>32970.706082071883</v>
      </c>
      <c r="Y81" s="719">
        <f t="shared" si="24"/>
        <v>31130.764735313598</v>
      </c>
      <c r="Z81" s="719">
        <f t="shared" si="25"/>
        <v>29290.823388555345</v>
      </c>
      <c r="AA81" s="719">
        <f t="shared" si="26"/>
        <v>28744.513544097143</v>
      </c>
      <c r="AB81" s="719">
        <f t="shared" si="27"/>
        <v>28198.203699638936</v>
      </c>
      <c r="AC81" s="681" t="str">
        <f t="shared" si="31"/>
        <v>TFHCV5ELC-N</v>
      </c>
    </row>
    <row r="82" spans="1:29" x14ac:dyDescent="0.25">
      <c r="A82" s="227" t="s">
        <v>1052</v>
      </c>
      <c r="B82" s="220" t="str">
        <f>VLOOKUP($A82,ITEMS_Tech_N!$D$6:$E$122,2,FALSE)</f>
        <v>Transport Freight - HCV6 Electricity-N</v>
      </c>
      <c r="C82" s="220" t="s">
        <v>1294</v>
      </c>
      <c r="D82" s="711" t="str">
        <f t="shared" si="28"/>
        <v>Other</v>
      </c>
      <c r="E82" s="220" t="s">
        <v>1272</v>
      </c>
      <c r="F82" s="220" t="s">
        <v>1122</v>
      </c>
      <c r="G82" s="642" t="s">
        <v>1117</v>
      </c>
      <c r="H82" s="220" t="s">
        <v>1117</v>
      </c>
      <c r="I82" s="220"/>
      <c r="J82" s="733">
        <f>J64*J$83/J$65</f>
        <v>2677500</v>
      </c>
      <c r="K82" s="733">
        <f t="shared" si="21"/>
        <v>2382067.7671589926</v>
      </c>
      <c r="L82" s="734" t="s">
        <v>1199</v>
      </c>
      <c r="M82" s="659" t="s">
        <v>1211</v>
      </c>
      <c r="N82" s="657" cm="1">
        <f t="array" ref="N82">IFERROR($K82*INDEX(N$2:N$9,MATCH(1,($L$2:$L$9=$D82)*($M$2:$M$9=$H82),0)),"")</f>
        <v>2732265.3835872035</v>
      </c>
      <c r="O82" s="657" cm="1">
        <f t="array" ref="O82">IFERROR($K82*INDEX(O$2:O$9,MATCH(1,($L$2:$L$9=$D82)*($M$2:$M$9=$H82),0)),"")</f>
        <v>2144409.6850952739</v>
      </c>
      <c r="P82" s="657" cm="1">
        <f t="array" ref="P82">IFERROR($K82*INDEX(P$2:P$9,MATCH(1,($L$2:$L$9=$D82)*($M$2:$M$9=$H82),0)),"")</f>
        <v>1735300.3201090465</v>
      </c>
      <c r="Q82" s="657" cm="1">
        <f t="array" ref="Q82">IFERROR($K82*INDEX(Q$2:Q$9,MATCH(1,($L$2:$L$9=$D82)*($M$2:$M$9=$H82),0)),"")</f>
        <v>1638461.3018586105</v>
      </c>
      <c r="R82" s="657" cm="1">
        <f t="array" ref="R82">IFERROR($K82*INDEX(R$2:R$9,MATCH(1,($L$2:$L$9=$D82)*($M$2:$M$9=$H82),0)),"")</f>
        <v>1541622.283608176</v>
      </c>
      <c r="S82" s="657" cm="1">
        <f t="array" ref="S82">IFERROR($K82*INDEX(S$2:S$9,MATCH(1,($L$2:$L$9=$D82)*($M$2:$M$9=$H82),0)),"")</f>
        <v>1512869.1338998496</v>
      </c>
      <c r="T82" s="657" cm="1">
        <f t="array" ref="T82">IFERROR($K82*INDEX(T$2:T$9,MATCH(1,($L$2:$L$9=$D82)*($M$2:$M$9=$H82),0)),"")</f>
        <v>1484115.9841915229</v>
      </c>
      <c r="U82" s="680">
        <f t="shared" si="29"/>
        <v>1.9E-2</v>
      </c>
      <c r="V82" s="719">
        <f t="shared" si="30"/>
        <v>51913.042288156867</v>
      </c>
      <c r="W82" s="719">
        <f t="shared" si="22"/>
        <v>40743.784016810205</v>
      </c>
      <c r="X82" s="719">
        <f t="shared" si="23"/>
        <v>32970.706082071883</v>
      </c>
      <c r="Y82" s="719">
        <f t="shared" si="24"/>
        <v>31130.764735313598</v>
      </c>
      <c r="Z82" s="719">
        <f t="shared" si="25"/>
        <v>29290.823388555345</v>
      </c>
      <c r="AA82" s="719">
        <f t="shared" si="26"/>
        <v>28744.513544097143</v>
      </c>
      <c r="AB82" s="719">
        <f t="shared" si="27"/>
        <v>28198.203699638936</v>
      </c>
      <c r="AC82" s="681" t="str">
        <f t="shared" si="31"/>
        <v>TFHCV6ELC-N</v>
      </c>
    </row>
    <row r="83" spans="1:29" x14ac:dyDescent="0.25">
      <c r="A83" s="227" t="s">
        <v>1054</v>
      </c>
      <c r="B83" s="220" t="str">
        <f>VLOOKUP($A83,ITEMS_Tech_N!$D$6:$E$122,2,FALSE)</f>
        <v>Transport Freight - HCV7 Electricity-N</v>
      </c>
      <c r="C83" s="220" t="s">
        <v>1294</v>
      </c>
      <c r="D83" s="711" t="str">
        <f t="shared" si="28"/>
        <v>Other</v>
      </c>
      <c r="E83" s="220" t="s">
        <v>1273</v>
      </c>
      <c r="F83" s="220" t="s">
        <v>1123</v>
      </c>
      <c r="G83" s="642" t="s">
        <v>1117</v>
      </c>
      <c r="H83" s="220" t="s">
        <v>1117</v>
      </c>
      <c r="I83" s="733">
        <f>2.8*I65</f>
        <v>3570000</v>
      </c>
      <c r="J83" s="733">
        <f>I83</f>
        <v>3570000</v>
      </c>
      <c r="K83" s="733">
        <f t="shared" si="21"/>
        <v>3176090.3562119901</v>
      </c>
      <c r="L83" s="734" t="s">
        <v>1337</v>
      </c>
      <c r="M83" s="734"/>
      <c r="N83" s="657" cm="1">
        <f t="array" ref="N83">IFERROR($K83*INDEX(N$2:N$9,MATCH(1,($L$2:$L$9=$D83)*($M$2:$M$9=$H83),0)),"")</f>
        <v>3643020.5114496043</v>
      </c>
      <c r="O83" s="657" cm="1">
        <f t="array" ref="O83">IFERROR($K83*INDEX(O$2:O$9,MATCH(1,($L$2:$L$9=$D83)*($M$2:$M$9=$H83),0)),"")</f>
        <v>2859212.9134603655</v>
      </c>
      <c r="P83" s="657" cm="1">
        <f t="array" ref="P83">IFERROR($K83*INDEX(P$2:P$9,MATCH(1,($L$2:$L$9=$D83)*($M$2:$M$9=$H83),0)),"")</f>
        <v>2313733.7601453955</v>
      </c>
      <c r="Q83" s="657" cm="1">
        <f t="array" ref="Q83">IFERROR($K83*INDEX(Q$2:Q$9,MATCH(1,($L$2:$L$9=$D83)*($M$2:$M$9=$H83),0)),"")</f>
        <v>2184615.0691448138</v>
      </c>
      <c r="R83" s="657" cm="1">
        <f t="array" ref="R83">IFERROR($K83*INDEX(R$2:R$9,MATCH(1,($L$2:$L$9=$D83)*($M$2:$M$9=$H83),0)),"")</f>
        <v>2055496.3781442347</v>
      </c>
      <c r="S83" s="657" cm="1">
        <f t="array" ref="S83">IFERROR($K83*INDEX(S$2:S$9,MATCH(1,($L$2:$L$9=$D83)*($M$2:$M$9=$H83),0)),"")</f>
        <v>2017158.8451997994</v>
      </c>
      <c r="T83" s="657" cm="1">
        <f t="array" ref="T83">IFERROR($K83*INDEX(T$2:T$9,MATCH(1,($L$2:$L$9=$D83)*($M$2:$M$9=$H83),0)),"")</f>
        <v>1978821.3122553641</v>
      </c>
      <c r="U83" s="680">
        <f t="shared" si="29"/>
        <v>1.9E-2</v>
      </c>
      <c r="V83" s="719">
        <f t="shared" si="30"/>
        <v>69217.389717542479</v>
      </c>
      <c r="W83" s="719">
        <f t="shared" si="22"/>
        <v>54325.045355746945</v>
      </c>
      <c r="X83" s="719">
        <f t="shared" si="23"/>
        <v>43960.941442762516</v>
      </c>
      <c r="Y83" s="719">
        <f t="shared" si="24"/>
        <v>41507.686313751459</v>
      </c>
      <c r="Z83" s="719">
        <f t="shared" si="25"/>
        <v>39054.431184740461</v>
      </c>
      <c r="AA83" s="719">
        <f t="shared" si="26"/>
        <v>38326.018058796188</v>
      </c>
      <c r="AB83" s="719">
        <f t="shared" si="27"/>
        <v>37597.604932851915</v>
      </c>
      <c r="AC83" s="681" t="str">
        <f t="shared" si="31"/>
        <v>TFHCV7ELC-N</v>
      </c>
    </row>
    <row r="84" spans="1:29" x14ac:dyDescent="0.25">
      <c r="A84" s="227" t="s">
        <v>1056</v>
      </c>
      <c r="B84" s="220" t="str">
        <f>VLOOKUP($A84,ITEMS_Tech_N!$D$6:$E$122,2,FALSE)</f>
        <v>Transport Freight - HCV8 Electricity-N</v>
      </c>
      <c r="C84" s="220" t="s">
        <v>1294</v>
      </c>
      <c r="D84" s="711" t="str">
        <f t="shared" si="28"/>
        <v>Other</v>
      </c>
      <c r="E84" s="220" t="s">
        <v>1274</v>
      </c>
      <c r="F84" s="220" t="s">
        <v>1123</v>
      </c>
      <c r="G84" s="642" t="s">
        <v>1117</v>
      </c>
      <c r="H84" s="220" t="s">
        <v>1117</v>
      </c>
      <c r="I84" s="220"/>
      <c r="J84" s="733">
        <f>J83</f>
        <v>3570000</v>
      </c>
      <c r="K84" s="733">
        <f t="shared" si="21"/>
        <v>3176090.3562119901</v>
      </c>
      <c r="L84" s="734" t="s">
        <v>1199</v>
      </c>
      <c r="M84" s="659" t="s">
        <v>1211</v>
      </c>
      <c r="N84" s="657" cm="1">
        <f t="array" ref="N84">IFERROR($K84*INDEX(N$2:N$9,MATCH(1,($L$2:$L$9=$D84)*($M$2:$M$9=$H84),0)),"")</f>
        <v>3643020.5114496043</v>
      </c>
      <c r="O84" s="657" cm="1">
        <f t="array" ref="O84">IFERROR($K84*INDEX(O$2:O$9,MATCH(1,($L$2:$L$9=$D84)*($M$2:$M$9=$H84),0)),"")</f>
        <v>2859212.9134603655</v>
      </c>
      <c r="P84" s="657" cm="1">
        <f t="array" ref="P84">IFERROR($K84*INDEX(P$2:P$9,MATCH(1,($L$2:$L$9=$D84)*($M$2:$M$9=$H84),0)),"")</f>
        <v>2313733.7601453955</v>
      </c>
      <c r="Q84" s="657" cm="1">
        <f t="array" ref="Q84">IFERROR($K84*INDEX(Q$2:Q$9,MATCH(1,($L$2:$L$9=$D84)*($M$2:$M$9=$H84),0)),"")</f>
        <v>2184615.0691448138</v>
      </c>
      <c r="R84" s="657" cm="1">
        <f t="array" ref="R84">IFERROR($K84*INDEX(R$2:R$9,MATCH(1,($L$2:$L$9=$D84)*($M$2:$M$9=$H84),0)),"")</f>
        <v>2055496.3781442347</v>
      </c>
      <c r="S84" s="657" cm="1">
        <f t="array" ref="S84">IFERROR($K84*INDEX(S$2:S$9,MATCH(1,($L$2:$L$9=$D84)*($M$2:$M$9=$H84),0)),"")</f>
        <v>2017158.8451997994</v>
      </c>
      <c r="T84" s="657" cm="1">
        <f t="array" ref="T84">IFERROR($K84*INDEX(T$2:T$9,MATCH(1,($L$2:$L$9=$D84)*($M$2:$M$9=$H84),0)),"")</f>
        <v>1978821.3122553641</v>
      </c>
      <c r="U84" s="680">
        <f t="shared" si="29"/>
        <v>1.9E-2</v>
      </c>
      <c r="V84" s="719">
        <f t="shared" si="30"/>
        <v>69217.389717542479</v>
      </c>
      <c r="W84" s="719">
        <f t="shared" si="22"/>
        <v>54325.045355746945</v>
      </c>
      <c r="X84" s="719">
        <f t="shared" si="23"/>
        <v>43960.941442762516</v>
      </c>
      <c r="Y84" s="719">
        <f t="shared" si="24"/>
        <v>41507.686313751459</v>
      </c>
      <c r="Z84" s="719">
        <f t="shared" si="25"/>
        <v>39054.431184740461</v>
      </c>
      <c r="AA84" s="719">
        <f t="shared" si="26"/>
        <v>38326.018058796188</v>
      </c>
      <c r="AB84" s="719">
        <f t="shared" si="27"/>
        <v>37597.604932851915</v>
      </c>
      <c r="AC84" s="681" t="str">
        <f t="shared" si="31"/>
        <v>TFHCV8ELC-N</v>
      </c>
    </row>
    <row r="85" spans="1:29" x14ac:dyDescent="0.25">
      <c r="A85" s="227" t="s">
        <v>1058</v>
      </c>
      <c r="B85" s="220" t="str">
        <f>VLOOKUP($A85,ITEMS_Tech_N!$D$6:$E$122,2,FALSE)</f>
        <v>Transport Freight - HCV9 Electricity-N</v>
      </c>
      <c r="C85" s="220" t="s">
        <v>1294</v>
      </c>
      <c r="D85" s="711" t="str">
        <f t="shared" si="28"/>
        <v>Other</v>
      </c>
      <c r="E85" s="220" t="s">
        <v>1275</v>
      </c>
      <c r="F85" s="220" t="s">
        <v>1123</v>
      </c>
      <c r="G85" s="642" t="s">
        <v>1117</v>
      </c>
      <c r="H85" s="220" t="s">
        <v>1117</v>
      </c>
      <c r="I85" s="220"/>
      <c r="J85" s="733">
        <f>J83</f>
        <v>3570000</v>
      </c>
      <c r="K85" s="733">
        <f t="shared" si="21"/>
        <v>3176090.3562119901</v>
      </c>
      <c r="L85" s="734" t="s">
        <v>1199</v>
      </c>
      <c r="M85" s="659" t="s">
        <v>1211</v>
      </c>
      <c r="N85" s="657" cm="1">
        <f t="array" ref="N85">IFERROR($K85*INDEX(N$2:N$9,MATCH(1,($L$2:$L$9=$D85)*($M$2:$M$9=$H85),0)),"")</f>
        <v>3643020.5114496043</v>
      </c>
      <c r="O85" s="657" cm="1">
        <f t="array" ref="O85">IFERROR($K85*INDEX(O$2:O$9,MATCH(1,($L$2:$L$9=$D85)*($M$2:$M$9=$H85),0)),"")</f>
        <v>2859212.9134603655</v>
      </c>
      <c r="P85" s="657" cm="1">
        <f t="array" ref="P85">IFERROR($K85*INDEX(P$2:P$9,MATCH(1,($L$2:$L$9=$D85)*($M$2:$M$9=$H85),0)),"")</f>
        <v>2313733.7601453955</v>
      </c>
      <c r="Q85" s="657" cm="1">
        <f t="array" ref="Q85">IFERROR($K85*INDEX(Q$2:Q$9,MATCH(1,($L$2:$L$9=$D85)*($M$2:$M$9=$H85),0)),"")</f>
        <v>2184615.0691448138</v>
      </c>
      <c r="R85" s="657" cm="1">
        <f t="array" ref="R85">IFERROR($K85*INDEX(R$2:R$9,MATCH(1,($L$2:$L$9=$D85)*($M$2:$M$9=$H85),0)),"")</f>
        <v>2055496.3781442347</v>
      </c>
      <c r="S85" s="657" cm="1">
        <f t="array" ref="S85">IFERROR($K85*INDEX(S$2:S$9,MATCH(1,($L$2:$L$9=$D85)*($M$2:$M$9=$H85),0)),"")</f>
        <v>2017158.8451997994</v>
      </c>
      <c r="T85" s="657" cm="1">
        <f t="array" ref="T85">IFERROR($K85*INDEX(T$2:T$9,MATCH(1,($L$2:$L$9=$D85)*($M$2:$M$9=$H85),0)),"")</f>
        <v>1978821.3122553641</v>
      </c>
      <c r="U85" s="680">
        <f t="shared" si="29"/>
        <v>1.9E-2</v>
      </c>
      <c r="V85" s="719">
        <f t="shared" si="30"/>
        <v>69217.389717542479</v>
      </c>
      <c r="W85" s="719">
        <f t="shared" si="22"/>
        <v>54325.045355746945</v>
      </c>
      <c r="X85" s="719">
        <f t="shared" si="23"/>
        <v>43960.941442762516</v>
      </c>
      <c r="Y85" s="719">
        <f t="shared" si="24"/>
        <v>41507.686313751459</v>
      </c>
      <c r="Z85" s="719">
        <f t="shared" si="25"/>
        <v>39054.431184740461</v>
      </c>
      <c r="AA85" s="719">
        <f t="shared" si="26"/>
        <v>38326.018058796188</v>
      </c>
      <c r="AB85" s="719">
        <f t="shared" si="27"/>
        <v>37597.604932851915</v>
      </c>
      <c r="AC85" s="681" t="str">
        <f t="shared" si="31"/>
        <v>TFHCV9ELC-N</v>
      </c>
    </row>
    <row r="86" spans="1:29" x14ac:dyDescent="0.25">
      <c r="A86" s="227" t="s">
        <v>1060</v>
      </c>
      <c r="B86" s="220" t="str">
        <f>VLOOKUP($A86,ITEMS_Tech_N!$D$6:$E$122,2,FALSE)</f>
        <v>Transport Freight - HCV2 Hydrogen-N</v>
      </c>
      <c r="C86" s="220" t="s">
        <v>1294</v>
      </c>
      <c r="D86" s="711" t="str">
        <f t="shared" si="28"/>
        <v>Other</v>
      </c>
      <c r="E86" s="220" t="s">
        <v>1268</v>
      </c>
      <c r="F86" s="220" t="s">
        <v>1120</v>
      </c>
      <c r="G86" s="220" t="s">
        <v>1116</v>
      </c>
      <c r="H86" s="220" t="s">
        <v>1116</v>
      </c>
      <c r="I86" s="656"/>
      <c r="J86" s="733">
        <f t="shared" ref="J86:J89" si="32">J78*$J$91/$J$83</f>
        <v>1794610.6049386689</v>
      </c>
      <c r="K86" s="733">
        <f t="shared" si="21"/>
        <v>1596595.3600844459</v>
      </c>
      <c r="L86" s="734" t="s">
        <v>1199</v>
      </c>
      <c r="M86" s="734" t="s">
        <v>1338</v>
      </c>
      <c r="N86" s="657" cm="1">
        <f t="array" ref="N86">IFERROR($K86*INDEX(N$2:N$9,MATCH(1,($L$2:$L$9=$D86)*($M$2:$M$9=$H86),0)),"")</f>
        <v>1684028.0292405833</v>
      </c>
      <c r="O86" s="657" cm="1">
        <f t="array" ref="O86">IFERROR($K86*INDEX(O$2:O$9,MATCH(1,($L$2:$L$9=$D86)*($M$2:$M$9=$H86),0)),"")</f>
        <v>1471717.0026125333</v>
      </c>
      <c r="P86" s="657" cm="1">
        <f t="array" ref="P86">IFERROR($K86*INDEX(P$2:P$9,MATCH(1,($L$2:$L$9=$D86)*($M$2:$M$9=$H86),0)),"")</f>
        <v>1369576.0339721874</v>
      </c>
      <c r="Q86" s="657" cm="1">
        <f t="array" ref="Q86">IFERROR($K86*INDEX(Q$2:Q$9,MATCH(1,($L$2:$L$9=$D86)*($M$2:$M$9=$H86),0)),"")</f>
        <v>1292222.9680719075</v>
      </c>
      <c r="R86" s="657" cm="1">
        <f t="array" ref="R86">IFERROR($K86*INDEX(R$2:R$9,MATCH(1,($L$2:$L$9=$D86)*($M$2:$M$9=$H86),0)),"")</f>
        <v>1214869.9021716241</v>
      </c>
      <c r="S86" s="657" cm="1">
        <f t="array" ref="S86">IFERROR($K86*INDEX(S$2:S$9,MATCH(1,($L$2:$L$9=$D86)*($M$2:$M$9=$H86),0)),"")</f>
        <v>1200298.540284181</v>
      </c>
      <c r="T86" s="657" cm="1">
        <f t="array" ref="T86">IFERROR($K86*INDEX(T$2:T$9,MATCH(1,($L$2:$L$9=$D86)*($M$2:$M$9=$H86),0)),"")</f>
        <v>1185727.1783967374</v>
      </c>
      <c r="U86" s="680">
        <f t="shared" si="29"/>
        <v>2.7E-2</v>
      </c>
      <c r="V86" s="719">
        <f t="shared" si="30"/>
        <v>45468.756789495746</v>
      </c>
      <c r="W86" s="719">
        <f t="shared" si="22"/>
        <v>39736.359070538398</v>
      </c>
      <c r="X86" s="719">
        <f t="shared" si="23"/>
        <v>36978.552917249057</v>
      </c>
      <c r="Y86" s="719">
        <f t="shared" si="24"/>
        <v>34890.020137941501</v>
      </c>
      <c r="Z86" s="719">
        <f t="shared" si="25"/>
        <v>32801.487358633851</v>
      </c>
      <c r="AA86" s="719">
        <f t="shared" si="26"/>
        <v>32408.060587672888</v>
      </c>
      <c r="AB86" s="719">
        <f t="shared" si="27"/>
        <v>32014.63381671191</v>
      </c>
      <c r="AC86" s="681" t="str">
        <f t="shared" si="31"/>
        <v>TFHCV2HGN-N</v>
      </c>
    </row>
    <row r="87" spans="1:29" x14ac:dyDescent="0.25">
      <c r="A87" s="227" t="s">
        <v>1062</v>
      </c>
      <c r="B87" s="220" t="str">
        <f>VLOOKUP($A87,ITEMS_Tech_N!$D$6:$E$122,2,FALSE)</f>
        <v>Transport Freight - HCV3 Hydrogen-N</v>
      </c>
      <c r="C87" s="220" t="s">
        <v>1294</v>
      </c>
      <c r="D87" s="711" t="str">
        <f t="shared" si="28"/>
        <v>Other</v>
      </c>
      <c r="E87" s="220" t="s">
        <v>1269</v>
      </c>
      <c r="F87" s="220" t="s">
        <v>1120</v>
      </c>
      <c r="G87" s="220" t="s">
        <v>1116</v>
      </c>
      <c r="H87" s="220" t="s">
        <v>1116</v>
      </c>
      <c r="I87" s="656"/>
      <c r="J87" s="733">
        <f t="shared" si="32"/>
        <v>1794610.6049386689</v>
      </c>
      <c r="K87" s="733">
        <f t="shared" si="21"/>
        <v>1596595.3600844459</v>
      </c>
      <c r="L87" s="734" t="s">
        <v>1199</v>
      </c>
      <c r="M87" s="734" t="s">
        <v>1338</v>
      </c>
      <c r="N87" s="657" cm="1">
        <f t="array" ref="N87">IFERROR($K87*INDEX(N$2:N$9,MATCH(1,($L$2:$L$9=$D87)*($M$2:$M$9=$H87),0)),"")</f>
        <v>1684028.0292405833</v>
      </c>
      <c r="O87" s="657" cm="1">
        <f t="array" ref="O87">IFERROR($K87*INDEX(O$2:O$9,MATCH(1,($L$2:$L$9=$D87)*($M$2:$M$9=$H87),0)),"")</f>
        <v>1471717.0026125333</v>
      </c>
      <c r="P87" s="657" cm="1">
        <f t="array" ref="P87">IFERROR($K87*INDEX(P$2:P$9,MATCH(1,($L$2:$L$9=$D87)*($M$2:$M$9=$H87),0)),"")</f>
        <v>1369576.0339721874</v>
      </c>
      <c r="Q87" s="657" cm="1">
        <f t="array" ref="Q87">IFERROR($K87*INDEX(Q$2:Q$9,MATCH(1,($L$2:$L$9=$D87)*($M$2:$M$9=$H87),0)),"")</f>
        <v>1292222.9680719075</v>
      </c>
      <c r="R87" s="657" cm="1">
        <f t="array" ref="R87">IFERROR($K87*INDEX(R$2:R$9,MATCH(1,($L$2:$L$9=$D87)*($M$2:$M$9=$H87),0)),"")</f>
        <v>1214869.9021716241</v>
      </c>
      <c r="S87" s="657" cm="1">
        <f t="array" ref="S87">IFERROR($K87*INDEX(S$2:S$9,MATCH(1,($L$2:$L$9=$D87)*($M$2:$M$9=$H87),0)),"")</f>
        <v>1200298.540284181</v>
      </c>
      <c r="T87" s="657" cm="1">
        <f t="array" ref="T87">IFERROR($K87*INDEX(T$2:T$9,MATCH(1,($L$2:$L$9=$D87)*($M$2:$M$9=$H87),0)),"")</f>
        <v>1185727.1783967374</v>
      </c>
      <c r="U87" s="680">
        <f t="shared" si="29"/>
        <v>2.7E-2</v>
      </c>
      <c r="V87" s="719">
        <f t="shared" si="30"/>
        <v>45468.756789495746</v>
      </c>
      <c r="W87" s="719">
        <f t="shared" si="22"/>
        <v>39736.359070538398</v>
      </c>
      <c r="X87" s="719">
        <f t="shared" si="23"/>
        <v>36978.552917249057</v>
      </c>
      <c r="Y87" s="719">
        <f t="shared" si="24"/>
        <v>34890.020137941501</v>
      </c>
      <c r="Z87" s="719">
        <f t="shared" si="25"/>
        <v>32801.487358633851</v>
      </c>
      <c r="AA87" s="719">
        <f t="shared" si="26"/>
        <v>32408.060587672888</v>
      </c>
      <c r="AB87" s="719">
        <f t="shared" si="27"/>
        <v>32014.63381671191</v>
      </c>
      <c r="AC87" s="681" t="str">
        <f t="shared" si="31"/>
        <v>TFHCV3HGN-N</v>
      </c>
    </row>
    <row r="88" spans="1:29" x14ac:dyDescent="0.25">
      <c r="A88" s="227" t="s">
        <v>1064</v>
      </c>
      <c r="B88" s="220" t="str">
        <f>VLOOKUP($A88,ITEMS_Tech_N!$D$6:$E$122,2,FALSE)</f>
        <v>Transport Freight - HCV4 Hydrogen-N</v>
      </c>
      <c r="C88" s="220" t="s">
        <v>1294</v>
      </c>
      <c r="D88" s="711" t="str">
        <f t="shared" si="28"/>
        <v>Other</v>
      </c>
      <c r="E88" s="220" t="s">
        <v>1270</v>
      </c>
      <c r="F88" s="220" t="s">
        <v>1122</v>
      </c>
      <c r="G88" s="220" t="s">
        <v>1116</v>
      </c>
      <c r="H88" s="220" t="s">
        <v>1116</v>
      </c>
      <c r="I88" s="656"/>
      <c r="J88" s="733">
        <f t="shared" si="32"/>
        <v>3442500</v>
      </c>
      <c r="K88" s="733">
        <f t="shared" si="21"/>
        <v>3062658.5577758476</v>
      </c>
      <c r="L88" s="734" t="s">
        <v>1199</v>
      </c>
      <c r="M88" s="734" t="s">
        <v>1338</v>
      </c>
      <c r="N88" s="657" cm="1">
        <f t="array" ref="N88">IFERROR($K88*INDEX(N$2:N$9,MATCH(1,($L$2:$L$9=$D88)*($M$2:$M$9=$H88),0)),"")</f>
        <v>3230375.7008383614</v>
      </c>
      <c r="O88" s="657" cm="1">
        <f t="array" ref="O88">IFERROR($K88*INDEX(O$2:O$9,MATCH(1,($L$2:$L$9=$D88)*($M$2:$M$9=$H88),0)),"")</f>
        <v>2823111.4691684274</v>
      </c>
      <c r="P88" s="657" cm="1">
        <f t="array" ref="P88">IFERROR($K88*INDEX(P$2:P$9,MATCH(1,($L$2:$L$9=$D88)*($M$2:$M$9=$H88),0)),"")</f>
        <v>2627180.2272729706</v>
      </c>
      <c r="Q88" s="657" cm="1">
        <f t="array" ref="Q88">IFERROR($K88*INDEX(Q$2:Q$9,MATCH(1,($L$2:$L$9=$D88)*($M$2:$M$9=$H88),0)),"")</f>
        <v>2478798.2169199144</v>
      </c>
      <c r="R88" s="657" cm="1">
        <f t="array" ref="R88">IFERROR($K88*INDEX(R$2:R$9,MATCH(1,($L$2:$L$9=$D88)*($M$2:$M$9=$H88),0)),"")</f>
        <v>2330416.2065668521</v>
      </c>
      <c r="S88" s="657" cm="1">
        <f t="array" ref="S88">IFERROR($K88*INDEX(S$2:S$9,MATCH(1,($L$2:$L$9=$D88)*($M$2:$M$9=$H88),0)),"")</f>
        <v>2302464.787379046</v>
      </c>
      <c r="T88" s="657" cm="1">
        <f t="array" ref="T88">IFERROR($K88*INDEX(T$2:T$9,MATCH(1,($L$2:$L$9=$D88)*($M$2:$M$9=$H88),0)),"")</f>
        <v>2274513.368191239</v>
      </c>
      <c r="U88" s="680">
        <f t="shared" si="29"/>
        <v>2.7E-2</v>
      </c>
      <c r="V88" s="719">
        <f t="shared" si="30"/>
        <v>87220.143922635762</v>
      </c>
      <c r="W88" s="719">
        <f t="shared" si="22"/>
        <v>76224.009667547536</v>
      </c>
      <c r="X88" s="719">
        <f t="shared" si="23"/>
        <v>70933.866136370212</v>
      </c>
      <c r="Y88" s="719">
        <f t="shared" si="24"/>
        <v>66927.551856837687</v>
      </c>
      <c r="Z88" s="719">
        <f t="shared" si="25"/>
        <v>62921.237577305008</v>
      </c>
      <c r="AA88" s="719">
        <f t="shared" si="26"/>
        <v>62166.549259234242</v>
      </c>
      <c r="AB88" s="719">
        <f t="shared" si="27"/>
        <v>61411.860941163453</v>
      </c>
      <c r="AC88" s="681" t="str">
        <f t="shared" si="31"/>
        <v>TFHCV4HGN-N</v>
      </c>
    </row>
    <row r="89" spans="1:29" x14ac:dyDescent="0.25">
      <c r="A89" s="227" t="s">
        <v>1066</v>
      </c>
      <c r="B89" s="220" t="str">
        <f>VLOOKUP($A89,ITEMS_Tech_N!$D$6:$E$122,2,FALSE)</f>
        <v>Transport Freight - HCV5 Hydrogen-N</v>
      </c>
      <c r="C89" s="220" t="s">
        <v>1294</v>
      </c>
      <c r="D89" s="711" t="str">
        <f t="shared" si="28"/>
        <v>Other</v>
      </c>
      <c r="E89" s="220" t="s">
        <v>1271</v>
      </c>
      <c r="F89" s="220" t="s">
        <v>1122</v>
      </c>
      <c r="G89" s="220" t="s">
        <v>1116</v>
      </c>
      <c r="H89" s="220" t="s">
        <v>1116</v>
      </c>
      <c r="I89" s="656"/>
      <c r="J89" s="733">
        <f t="shared" si="32"/>
        <v>3442500</v>
      </c>
      <c r="K89" s="733">
        <f t="shared" si="21"/>
        <v>3062658.5577758476</v>
      </c>
      <c r="L89" s="734" t="s">
        <v>1199</v>
      </c>
      <c r="M89" s="734" t="s">
        <v>1338</v>
      </c>
      <c r="N89" s="657" cm="1">
        <f t="array" ref="N89">IFERROR($K89*INDEX(N$2:N$9,MATCH(1,($L$2:$L$9=$D89)*($M$2:$M$9=$H89),0)),"")</f>
        <v>3230375.7008383614</v>
      </c>
      <c r="O89" s="657" cm="1">
        <f t="array" ref="O89">IFERROR($K89*INDEX(O$2:O$9,MATCH(1,($L$2:$L$9=$D89)*($M$2:$M$9=$H89),0)),"")</f>
        <v>2823111.4691684274</v>
      </c>
      <c r="P89" s="657" cm="1">
        <f t="array" ref="P89">IFERROR($K89*INDEX(P$2:P$9,MATCH(1,($L$2:$L$9=$D89)*($M$2:$M$9=$H89),0)),"")</f>
        <v>2627180.2272729706</v>
      </c>
      <c r="Q89" s="657" cm="1">
        <f t="array" ref="Q89">IFERROR($K89*INDEX(Q$2:Q$9,MATCH(1,($L$2:$L$9=$D89)*($M$2:$M$9=$H89),0)),"")</f>
        <v>2478798.2169199144</v>
      </c>
      <c r="R89" s="657" cm="1">
        <f t="array" ref="R89">IFERROR($K89*INDEX(R$2:R$9,MATCH(1,($L$2:$L$9=$D89)*($M$2:$M$9=$H89),0)),"")</f>
        <v>2330416.2065668521</v>
      </c>
      <c r="S89" s="657" cm="1">
        <f t="array" ref="S89">IFERROR($K89*INDEX(S$2:S$9,MATCH(1,($L$2:$L$9=$D89)*($M$2:$M$9=$H89),0)),"")</f>
        <v>2302464.787379046</v>
      </c>
      <c r="T89" s="657" cm="1">
        <f t="array" ref="T89">IFERROR($K89*INDEX(T$2:T$9,MATCH(1,($L$2:$L$9=$D89)*($M$2:$M$9=$H89),0)),"")</f>
        <v>2274513.368191239</v>
      </c>
      <c r="U89" s="680">
        <f t="shared" si="29"/>
        <v>2.7E-2</v>
      </c>
      <c r="V89" s="719">
        <f t="shared" si="30"/>
        <v>87220.143922635762</v>
      </c>
      <c r="W89" s="719">
        <f t="shared" si="22"/>
        <v>76224.009667547536</v>
      </c>
      <c r="X89" s="719">
        <f t="shared" si="23"/>
        <v>70933.866136370212</v>
      </c>
      <c r="Y89" s="719">
        <f t="shared" si="24"/>
        <v>66927.551856837687</v>
      </c>
      <c r="Z89" s="719">
        <f t="shared" si="25"/>
        <v>62921.237577305008</v>
      </c>
      <c r="AA89" s="719">
        <f t="shared" si="26"/>
        <v>62166.549259234242</v>
      </c>
      <c r="AB89" s="719">
        <f t="shared" si="27"/>
        <v>61411.860941163453</v>
      </c>
      <c r="AC89" s="681" t="str">
        <f t="shared" si="31"/>
        <v>TFHCV5HGN-N</v>
      </c>
    </row>
    <row r="90" spans="1:29" x14ac:dyDescent="0.25">
      <c r="A90" s="227" t="s">
        <v>1068</v>
      </c>
      <c r="B90" s="220" t="str">
        <f>VLOOKUP($A90,ITEMS_Tech_N!$D$6:$E$122,2,FALSE)</f>
        <v>Transport Freight - HCV6 Hydrogen-N</v>
      </c>
      <c r="C90" s="220" t="s">
        <v>1294</v>
      </c>
      <c r="D90" s="711" t="str">
        <f t="shared" si="28"/>
        <v>Other</v>
      </c>
      <c r="E90" s="220" t="s">
        <v>1272</v>
      </c>
      <c r="F90" s="220" t="s">
        <v>1122</v>
      </c>
      <c r="G90" s="220" t="s">
        <v>1116</v>
      </c>
      <c r="H90" s="220" t="s">
        <v>1116</v>
      </c>
      <c r="I90" s="656"/>
      <c r="J90" s="733">
        <f>J82*$J$91/$J$83</f>
        <v>3442500</v>
      </c>
      <c r="K90" s="733">
        <f t="shared" si="21"/>
        <v>3062658.5577758476</v>
      </c>
      <c r="L90" s="734" t="s">
        <v>1199</v>
      </c>
      <c r="M90" s="734" t="s">
        <v>1338</v>
      </c>
      <c r="N90" s="657" cm="1">
        <f t="array" ref="N90">IFERROR($K90*INDEX(N$2:N$9,MATCH(1,($L$2:$L$9=$D90)*($M$2:$M$9=$H90),0)),"")</f>
        <v>3230375.7008383614</v>
      </c>
      <c r="O90" s="657" cm="1">
        <f t="array" ref="O90">IFERROR($K90*INDEX(O$2:O$9,MATCH(1,($L$2:$L$9=$D90)*($M$2:$M$9=$H90),0)),"")</f>
        <v>2823111.4691684274</v>
      </c>
      <c r="P90" s="657" cm="1">
        <f t="array" ref="P90">IFERROR($K90*INDEX(P$2:P$9,MATCH(1,($L$2:$L$9=$D90)*($M$2:$M$9=$H90),0)),"")</f>
        <v>2627180.2272729706</v>
      </c>
      <c r="Q90" s="657" cm="1">
        <f t="array" ref="Q90">IFERROR($K90*INDEX(Q$2:Q$9,MATCH(1,($L$2:$L$9=$D90)*($M$2:$M$9=$H90),0)),"")</f>
        <v>2478798.2169199144</v>
      </c>
      <c r="R90" s="657" cm="1">
        <f t="array" ref="R90">IFERROR($K90*INDEX(R$2:R$9,MATCH(1,($L$2:$L$9=$D90)*($M$2:$M$9=$H90),0)),"")</f>
        <v>2330416.2065668521</v>
      </c>
      <c r="S90" s="657" cm="1">
        <f t="array" ref="S90">IFERROR($K90*INDEX(S$2:S$9,MATCH(1,($L$2:$L$9=$D90)*($M$2:$M$9=$H90),0)),"")</f>
        <v>2302464.787379046</v>
      </c>
      <c r="T90" s="657" cm="1">
        <f t="array" ref="T90">IFERROR($K90*INDEX(T$2:T$9,MATCH(1,($L$2:$L$9=$D90)*($M$2:$M$9=$H90),0)),"")</f>
        <v>2274513.368191239</v>
      </c>
      <c r="U90" s="680">
        <f t="shared" si="29"/>
        <v>2.7E-2</v>
      </c>
      <c r="V90" s="719">
        <f t="shared" si="30"/>
        <v>87220.143922635762</v>
      </c>
      <c r="W90" s="719">
        <f t="shared" si="22"/>
        <v>76224.009667547536</v>
      </c>
      <c r="X90" s="719">
        <f t="shared" si="23"/>
        <v>70933.866136370212</v>
      </c>
      <c r="Y90" s="719">
        <f t="shared" si="24"/>
        <v>66927.551856837687</v>
      </c>
      <c r="Z90" s="719">
        <f t="shared" si="25"/>
        <v>62921.237577305008</v>
      </c>
      <c r="AA90" s="719">
        <f t="shared" si="26"/>
        <v>62166.549259234242</v>
      </c>
      <c r="AB90" s="719">
        <f t="shared" si="27"/>
        <v>61411.860941163453</v>
      </c>
      <c r="AC90" s="681" t="str">
        <f t="shared" si="31"/>
        <v>TFHCV6HGN-N</v>
      </c>
    </row>
    <row r="91" spans="1:29" x14ac:dyDescent="0.25">
      <c r="A91" s="227" t="s">
        <v>1070</v>
      </c>
      <c r="B91" s="220" t="str">
        <f>VLOOKUP($A91,ITEMS_Tech_N!$D$6:$E$122,2,FALSE)</f>
        <v>Transport Freight - HCV7 Hydrogen-N</v>
      </c>
      <c r="C91" s="220" t="s">
        <v>1294</v>
      </c>
      <c r="D91" s="711" t="str">
        <f t="shared" si="28"/>
        <v>Other</v>
      </c>
      <c r="E91" s="220" t="s">
        <v>1273</v>
      </c>
      <c r="F91" s="220" t="s">
        <v>1123</v>
      </c>
      <c r="G91" s="220" t="s">
        <v>1116</v>
      </c>
      <c r="H91" s="220" t="s">
        <v>1116</v>
      </c>
      <c r="I91" s="733"/>
      <c r="J91" s="733">
        <f>3.6*J65</f>
        <v>4590000</v>
      </c>
      <c r="K91" s="733">
        <f t="shared" si="21"/>
        <v>4083544.7437011302</v>
      </c>
      <c r="L91" s="734" t="s">
        <v>1337</v>
      </c>
      <c r="M91" s="734"/>
      <c r="N91" s="657" cm="1">
        <f t="array" ref="N91">IFERROR($K91*INDEX(N$2:N$9,MATCH(1,($L$2:$L$9=$D91)*($M$2:$M$9=$H91),0)),"")</f>
        <v>4307167.6011178149</v>
      </c>
      <c r="O91" s="657" cm="1">
        <f t="array" ref="O91">IFERROR($K91*INDEX(O$2:O$9,MATCH(1,($L$2:$L$9=$D91)*($M$2:$M$9=$H91),0)),"")</f>
        <v>3764148.6255579032</v>
      </c>
      <c r="P91" s="657" cm="1">
        <f t="array" ref="P91">IFERROR($K91*INDEX(P$2:P$9,MATCH(1,($L$2:$L$9=$D91)*($M$2:$M$9=$H91),0)),"")</f>
        <v>3502906.9696972938</v>
      </c>
      <c r="Q91" s="657" cm="1">
        <f t="array" ref="Q91">IFERROR($K91*INDEX(Q$2:Q$9,MATCH(1,($L$2:$L$9=$D91)*($M$2:$M$9=$H91),0)),"")</f>
        <v>3305064.2892265529</v>
      </c>
      <c r="R91" s="657" cm="1">
        <f t="array" ref="R91">IFERROR($K91*INDEX(R$2:R$9,MATCH(1,($L$2:$L$9=$D91)*($M$2:$M$9=$H91),0)),"")</f>
        <v>3107221.6087558027</v>
      </c>
      <c r="S91" s="657" cm="1">
        <f t="array" ref="S91">IFERROR($K91*INDEX(S$2:S$9,MATCH(1,($L$2:$L$9=$D91)*($M$2:$M$9=$H91),0)),"")</f>
        <v>3069953.0498387278</v>
      </c>
      <c r="T91" s="657" cm="1">
        <f t="array" ref="T91">IFERROR($K91*INDEX(T$2:T$9,MATCH(1,($L$2:$L$9=$D91)*($M$2:$M$9=$H91),0)),"")</f>
        <v>3032684.4909216515</v>
      </c>
      <c r="U91" s="680">
        <f t="shared" si="29"/>
        <v>2.7E-2</v>
      </c>
      <c r="V91" s="719">
        <f t="shared" si="30"/>
        <v>116293.525230181</v>
      </c>
      <c r="W91" s="719">
        <f t="shared" si="22"/>
        <v>101632.01289006339</v>
      </c>
      <c r="X91" s="719">
        <f t="shared" si="23"/>
        <v>94578.488181826935</v>
      </c>
      <c r="Y91" s="719">
        <f t="shared" si="24"/>
        <v>89236.73580911693</v>
      </c>
      <c r="Z91" s="719">
        <f t="shared" si="25"/>
        <v>83894.983436406677</v>
      </c>
      <c r="AA91" s="719">
        <f t="shared" si="26"/>
        <v>82888.732345645651</v>
      </c>
      <c r="AB91" s="719">
        <f t="shared" si="27"/>
        <v>81882.481254884595</v>
      </c>
      <c r="AC91" s="681" t="str">
        <f t="shared" si="31"/>
        <v>TFHCV7HGN-N</v>
      </c>
    </row>
    <row r="92" spans="1:29" x14ac:dyDescent="0.25">
      <c r="A92" s="227" t="s">
        <v>1072</v>
      </c>
      <c r="B92" s="220" t="str">
        <f>VLOOKUP($A92,ITEMS_Tech_N!$D$6:$E$122,2,FALSE)</f>
        <v>Transport Freight - HCV8 Hydrogen-N</v>
      </c>
      <c r="C92" s="220" t="s">
        <v>1294</v>
      </c>
      <c r="D92" s="711" t="str">
        <f t="shared" si="28"/>
        <v>Other</v>
      </c>
      <c r="E92" s="220" t="s">
        <v>1274</v>
      </c>
      <c r="F92" s="220" t="s">
        <v>1123</v>
      </c>
      <c r="G92" s="220" t="s">
        <v>1116</v>
      </c>
      <c r="H92" s="220" t="s">
        <v>1116</v>
      </c>
      <c r="I92" s="656"/>
      <c r="J92" s="733">
        <f>J84*$J$91/$J$83</f>
        <v>4590000</v>
      </c>
      <c r="K92" s="733">
        <f t="shared" si="21"/>
        <v>4083544.7437011302</v>
      </c>
      <c r="L92" s="734" t="s">
        <v>1199</v>
      </c>
      <c r="M92" s="734" t="s">
        <v>1338</v>
      </c>
      <c r="N92" s="657" cm="1">
        <f t="array" ref="N92">IFERROR($K92*INDEX(N$2:N$9,MATCH(1,($L$2:$L$9=$D92)*($M$2:$M$9=$H92),0)),"")</f>
        <v>4307167.6011178149</v>
      </c>
      <c r="O92" s="657" cm="1">
        <f t="array" ref="O92">IFERROR($K92*INDEX(O$2:O$9,MATCH(1,($L$2:$L$9=$D92)*($M$2:$M$9=$H92),0)),"")</f>
        <v>3764148.6255579032</v>
      </c>
      <c r="P92" s="657" cm="1">
        <f t="array" ref="P92">IFERROR($K92*INDEX(P$2:P$9,MATCH(1,($L$2:$L$9=$D92)*($M$2:$M$9=$H92),0)),"")</f>
        <v>3502906.9696972938</v>
      </c>
      <c r="Q92" s="657" cm="1">
        <f t="array" ref="Q92">IFERROR($K92*INDEX(Q$2:Q$9,MATCH(1,($L$2:$L$9=$D92)*($M$2:$M$9=$H92),0)),"")</f>
        <v>3305064.2892265529</v>
      </c>
      <c r="R92" s="657" cm="1">
        <f t="array" ref="R92">IFERROR($K92*INDEX(R$2:R$9,MATCH(1,($L$2:$L$9=$D92)*($M$2:$M$9=$H92),0)),"")</f>
        <v>3107221.6087558027</v>
      </c>
      <c r="S92" s="657" cm="1">
        <f t="array" ref="S92">IFERROR($K92*INDEX(S$2:S$9,MATCH(1,($L$2:$L$9=$D92)*($M$2:$M$9=$H92),0)),"")</f>
        <v>3069953.0498387278</v>
      </c>
      <c r="T92" s="657" cm="1">
        <f t="array" ref="T92">IFERROR($K92*INDEX(T$2:T$9,MATCH(1,($L$2:$L$9=$D92)*($M$2:$M$9=$H92),0)),"")</f>
        <v>3032684.4909216515</v>
      </c>
      <c r="U92" s="680">
        <f t="shared" si="29"/>
        <v>2.7E-2</v>
      </c>
      <c r="V92" s="719">
        <f t="shared" si="30"/>
        <v>116293.525230181</v>
      </c>
      <c r="W92" s="719">
        <f t="shared" si="22"/>
        <v>101632.01289006339</v>
      </c>
      <c r="X92" s="719">
        <f t="shared" si="23"/>
        <v>94578.488181826935</v>
      </c>
      <c r="Y92" s="719">
        <f t="shared" si="24"/>
        <v>89236.73580911693</v>
      </c>
      <c r="Z92" s="719">
        <f t="shared" si="25"/>
        <v>83894.983436406677</v>
      </c>
      <c r="AA92" s="719">
        <f t="shared" si="26"/>
        <v>82888.732345645651</v>
      </c>
      <c r="AB92" s="719">
        <f t="shared" si="27"/>
        <v>81882.481254884595</v>
      </c>
      <c r="AC92" s="681" t="str">
        <f t="shared" si="31"/>
        <v>TFHCV8HGN-N</v>
      </c>
    </row>
    <row r="93" spans="1:29" x14ac:dyDescent="0.25">
      <c r="A93" s="227" t="s">
        <v>1074</v>
      </c>
      <c r="B93" s="220" t="str">
        <f>VLOOKUP($A93,ITEMS_Tech_N!$D$6:$E$122,2,FALSE)</f>
        <v>Transport Freight - HCV9 Hydrogen-N</v>
      </c>
      <c r="C93" s="220" t="s">
        <v>1294</v>
      </c>
      <c r="D93" s="711" t="str">
        <f t="shared" si="28"/>
        <v>Other</v>
      </c>
      <c r="E93" s="220" t="s">
        <v>1275</v>
      </c>
      <c r="F93" s="220" t="s">
        <v>1123</v>
      </c>
      <c r="G93" s="220" t="s">
        <v>1116</v>
      </c>
      <c r="H93" s="220" t="s">
        <v>1116</v>
      </c>
      <c r="I93" s="656"/>
      <c r="J93" s="733">
        <f>J85*$J$91/$J$83</f>
        <v>4590000</v>
      </c>
      <c r="K93" s="733">
        <f t="shared" si="21"/>
        <v>4083544.7437011302</v>
      </c>
      <c r="L93" s="734" t="s">
        <v>1199</v>
      </c>
      <c r="M93" s="734" t="s">
        <v>1338</v>
      </c>
      <c r="N93" s="657" cm="1">
        <f t="array" ref="N93">IFERROR($K93*INDEX(N$2:N$9,MATCH(1,($L$2:$L$9=$D93)*($M$2:$M$9=$H93),0)),"")</f>
        <v>4307167.6011178149</v>
      </c>
      <c r="O93" s="657" cm="1">
        <f t="array" ref="O93">IFERROR($K93*INDEX(O$2:O$9,MATCH(1,($L$2:$L$9=$D93)*($M$2:$M$9=$H93),0)),"")</f>
        <v>3764148.6255579032</v>
      </c>
      <c r="P93" s="657" cm="1">
        <f t="array" ref="P93">IFERROR($K93*INDEX(P$2:P$9,MATCH(1,($L$2:$L$9=$D93)*($M$2:$M$9=$H93),0)),"")</f>
        <v>3502906.9696972938</v>
      </c>
      <c r="Q93" s="657" cm="1">
        <f t="array" ref="Q93">IFERROR($K93*INDEX(Q$2:Q$9,MATCH(1,($L$2:$L$9=$D93)*($M$2:$M$9=$H93),0)),"")</f>
        <v>3305064.2892265529</v>
      </c>
      <c r="R93" s="657" cm="1">
        <f t="array" ref="R93">IFERROR($K93*INDEX(R$2:R$9,MATCH(1,($L$2:$L$9=$D93)*($M$2:$M$9=$H93),0)),"")</f>
        <v>3107221.6087558027</v>
      </c>
      <c r="S93" s="657" cm="1">
        <f t="array" ref="S93">IFERROR($K93*INDEX(S$2:S$9,MATCH(1,($L$2:$L$9=$D93)*($M$2:$M$9=$H93),0)),"")</f>
        <v>3069953.0498387278</v>
      </c>
      <c r="T93" s="657" cm="1">
        <f t="array" ref="T93">IFERROR($K93*INDEX(T$2:T$9,MATCH(1,($L$2:$L$9=$D93)*($M$2:$M$9=$H93),0)),"")</f>
        <v>3032684.4909216515</v>
      </c>
      <c r="U93" s="680">
        <f t="shared" si="29"/>
        <v>2.7E-2</v>
      </c>
      <c r="V93" s="719">
        <f t="shared" si="30"/>
        <v>116293.525230181</v>
      </c>
      <c r="W93" s="719">
        <f t="shared" si="22"/>
        <v>101632.01289006339</v>
      </c>
      <c r="X93" s="719">
        <f t="shared" si="23"/>
        <v>94578.488181826935</v>
      </c>
      <c r="Y93" s="719">
        <f t="shared" si="24"/>
        <v>89236.73580911693</v>
      </c>
      <c r="Z93" s="719">
        <f t="shared" si="25"/>
        <v>83894.983436406677</v>
      </c>
      <c r="AA93" s="719">
        <f t="shared" si="26"/>
        <v>82888.732345645651</v>
      </c>
      <c r="AB93" s="719">
        <f t="shared" si="27"/>
        <v>81882.481254884595</v>
      </c>
      <c r="AC93" s="681" t="str">
        <f t="shared" si="31"/>
        <v>TFHCV9HGN-N</v>
      </c>
    </row>
    <row r="94" spans="1:29" x14ac:dyDescent="0.25">
      <c r="A94" s="227" t="s">
        <v>1076</v>
      </c>
      <c r="B94" s="220" t="e">
        <f>VLOOKUP($A94,ITEMS_Tech_N!$D$6:$E$122,2,FALSE)</f>
        <v>#N/A</v>
      </c>
      <c r="C94" s="220" t="s">
        <v>1295</v>
      </c>
      <c r="D94" s="715" t="str">
        <f t="shared" si="28"/>
        <v>Other</v>
      </c>
      <c r="E94" s="220" t="s">
        <v>876</v>
      </c>
      <c r="F94" s="220"/>
      <c r="G94" s="220"/>
      <c r="H94" s="220"/>
      <c r="I94" s="683"/>
      <c r="J94" s="683"/>
      <c r="K94" s="683">
        <v>1000</v>
      </c>
      <c r="L94" s="232" t="s">
        <v>1241</v>
      </c>
      <c r="M94" s="220"/>
      <c r="N94" s="716">
        <f>$K94</f>
        <v>1000</v>
      </c>
      <c r="O94" s="716">
        <f t="shared" ref="O94:T102" si="33">$K94</f>
        <v>1000</v>
      </c>
      <c r="P94" s="716">
        <f t="shared" si="33"/>
        <v>1000</v>
      </c>
      <c r="Q94" s="716">
        <f t="shared" si="33"/>
        <v>1000</v>
      </c>
      <c r="R94" s="716">
        <f t="shared" si="33"/>
        <v>1000</v>
      </c>
      <c r="S94" s="716">
        <f t="shared" si="33"/>
        <v>1000</v>
      </c>
      <c r="T94" s="716">
        <f t="shared" si="33"/>
        <v>1000</v>
      </c>
      <c r="U94" s="717"/>
      <c r="V94" s="718"/>
      <c r="W94" s="718"/>
      <c r="X94" s="718"/>
      <c r="Y94" s="718"/>
      <c r="Z94" s="718"/>
      <c r="AA94" s="718"/>
      <c r="AB94" s="718"/>
      <c r="AC94" s="681" t="str">
        <f t="shared" si="31"/>
        <v>TFRCOGAS-N</v>
      </c>
    </row>
    <row r="95" spans="1:29" x14ac:dyDescent="0.25">
      <c r="A95" s="227" t="s">
        <v>1078</v>
      </c>
      <c r="B95" s="220" t="str">
        <f>VLOOKUP($A95,ITEMS_Tech_N!$D$6:$E$122,2,FALSE)</f>
        <v>Transport Freight - Rail Corridor Electricity-N</v>
      </c>
      <c r="C95" s="220" t="s">
        <v>1295</v>
      </c>
      <c r="D95" s="715" t="str">
        <f t="shared" si="28"/>
        <v>Other</v>
      </c>
      <c r="E95" s="220" t="s">
        <v>876</v>
      </c>
      <c r="F95" s="220"/>
      <c r="G95" s="220"/>
      <c r="H95" s="220"/>
      <c r="I95" s="683"/>
      <c r="J95" s="683"/>
      <c r="K95" s="683">
        <v>10000</v>
      </c>
      <c r="L95" s="232" t="s">
        <v>1241</v>
      </c>
      <c r="M95" s="220"/>
      <c r="N95" s="716">
        <f t="shared" ref="N95:N102" si="34">$K95</f>
        <v>10000</v>
      </c>
      <c r="O95" s="716">
        <f t="shared" si="33"/>
        <v>10000</v>
      </c>
      <c r="P95" s="716">
        <f t="shared" si="33"/>
        <v>10000</v>
      </c>
      <c r="Q95" s="716">
        <f t="shared" si="33"/>
        <v>10000</v>
      </c>
      <c r="R95" s="716">
        <f t="shared" si="33"/>
        <v>10000</v>
      </c>
      <c r="S95" s="716">
        <f t="shared" si="33"/>
        <v>10000</v>
      </c>
      <c r="T95" s="716">
        <f t="shared" si="33"/>
        <v>10000</v>
      </c>
      <c r="U95" s="717"/>
      <c r="V95" s="718"/>
      <c r="W95" s="718"/>
      <c r="X95" s="718"/>
      <c r="Y95" s="718"/>
      <c r="Z95" s="718"/>
      <c r="AA95" s="718"/>
      <c r="AB95" s="718"/>
      <c r="AC95" s="681" t="str">
        <f t="shared" si="31"/>
        <v>TFRCOELC-N</v>
      </c>
    </row>
    <row r="96" spans="1:29" x14ac:dyDescent="0.25">
      <c r="A96" s="227" t="s">
        <v>1080</v>
      </c>
      <c r="B96" s="220" t="str">
        <f>VLOOKUP($A96,ITEMS_Tech_N!$D$6:$E$122,2,FALSE)</f>
        <v>Transport Freight - Rail Other Electricity-N</v>
      </c>
      <c r="C96" s="220" t="s">
        <v>1295</v>
      </c>
      <c r="D96" s="715" t="str">
        <f t="shared" si="28"/>
        <v>Other</v>
      </c>
      <c r="E96" s="220" t="s">
        <v>876</v>
      </c>
      <c r="F96" s="220"/>
      <c r="G96" s="220"/>
      <c r="H96" s="220"/>
      <c r="I96" s="683"/>
      <c r="J96" s="683"/>
      <c r="K96" s="683">
        <v>10000</v>
      </c>
      <c r="L96" s="232" t="s">
        <v>1241</v>
      </c>
      <c r="M96" s="220"/>
      <c r="N96" s="716">
        <f t="shared" si="34"/>
        <v>10000</v>
      </c>
      <c r="O96" s="716">
        <f t="shared" si="33"/>
        <v>10000</v>
      </c>
      <c r="P96" s="716">
        <f t="shared" si="33"/>
        <v>10000</v>
      </c>
      <c r="Q96" s="716">
        <f t="shared" si="33"/>
        <v>10000</v>
      </c>
      <c r="R96" s="716">
        <f t="shared" si="33"/>
        <v>10000</v>
      </c>
      <c r="S96" s="716">
        <f t="shared" si="33"/>
        <v>10000</v>
      </c>
      <c r="T96" s="716">
        <f t="shared" si="33"/>
        <v>10000</v>
      </c>
      <c r="U96" s="717"/>
      <c r="V96" s="718"/>
      <c r="W96" s="718"/>
      <c r="X96" s="718"/>
      <c r="Y96" s="718"/>
      <c r="Z96" s="718"/>
      <c r="AA96" s="718"/>
      <c r="AB96" s="718"/>
      <c r="AC96" s="681" t="str">
        <f t="shared" si="31"/>
        <v>TFROTELC-N</v>
      </c>
    </row>
    <row r="97" spans="1:29" x14ac:dyDescent="0.25">
      <c r="A97" s="227" t="s">
        <v>1082</v>
      </c>
      <c r="B97" s="220" t="str">
        <f>VLOOKUP($A97,ITEMS_Tech_N!$D$6:$E$122,2,FALSE)</f>
        <v>Transport Freight - Rail Export (bulk mining) Electricity-N</v>
      </c>
      <c r="C97" s="220" t="s">
        <v>1295</v>
      </c>
      <c r="D97" s="715" t="str">
        <f t="shared" si="28"/>
        <v>Other</v>
      </c>
      <c r="E97" s="220" t="s">
        <v>876</v>
      </c>
      <c r="F97" s="220"/>
      <c r="G97" s="220"/>
      <c r="H97" s="220"/>
      <c r="I97" s="683"/>
      <c r="J97" s="683"/>
      <c r="K97" s="683">
        <v>10000</v>
      </c>
      <c r="L97" s="232" t="s">
        <v>1241</v>
      </c>
      <c r="M97" s="220"/>
      <c r="N97" s="716">
        <f t="shared" si="34"/>
        <v>10000</v>
      </c>
      <c r="O97" s="716">
        <f t="shared" si="33"/>
        <v>10000</v>
      </c>
      <c r="P97" s="716">
        <f t="shared" si="33"/>
        <v>10000</v>
      </c>
      <c r="Q97" s="716">
        <f t="shared" si="33"/>
        <v>10000</v>
      </c>
      <c r="R97" s="716">
        <f t="shared" si="33"/>
        <v>10000</v>
      </c>
      <c r="S97" s="716">
        <f t="shared" si="33"/>
        <v>10000</v>
      </c>
      <c r="T97" s="716">
        <f t="shared" si="33"/>
        <v>10000</v>
      </c>
      <c r="U97" s="717"/>
      <c r="V97" s="718"/>
      <c r="W97" s="718"/>
      <c r="X97" s="718"/>
      <c r="Y97" s="718"/>
      <c r="Z97" s="718"/>
      <c r="AA97" s="718"/>
      <c r="AB97" s="718"/>
      <c r="AC97" s="681" t="str">
        <f t="shared" si="31"/>
        <v>TFREXELC-N</v>
      </c>
    </row>
    <row r="98" spans="1:29" x14ac:dyDescent="0.25">
      <c r="A98" s="227" t="s">
        <v>1084</v>
      </c>
      <c r="B98" s="220" t="str">
        <f>VLOOKUP($A98,ITEMS_Tech_N!$D$6:$E$122,2,FALSE)</f>
        <v>Transport Other - Pipeline Electricity-N</v>
      </c>
      <c r="C98" s="220" t="s">
        <v>1296</v>
      </c>
      <c r="D98" s="715" t="str">
        <f t="shared" si="28"/>
        <v>Other</v>
      </c>
      <c r="E98" s="220" t="s">
        <v>1266</v>
      </c>
      <c r="F98" s="220"/>
      <c r="G98" s="220"/>
      <c r="H98" s="220"/>
      <c r="I98" s="683"/>
      <c r="J98" s="683"/>
      <c r="K98" s="683">
        <v>10000</v>
      </c>
      <c r="L98" s="232" t="s">
        <v>1241</v>
      </c>
      <c r="M98" s="220"/>
      <c r="N98" s="716">
        <f t="shared" si="34"/>
        <v>10000</v>
      </c>
      <c r="O98" s="716">
        <f t="shared" si="33"/>
        <v>10000</v>
      </c>
      <c r="P98" s="716">
        <f t="shared" si="33"/>
        <v>10000</v>
      </c>
      <c r="Q98" s="716">
        <f t="shared" si="33"/>
        <v>10000</v>
      </c>
      <c r="R98" s="716">
        <f t="shared" si="33"/>
        <v>10000</v>
      </c>
      <c r="S98" s="716">
        <f t="shared" si="33"/>
        <v>10000</v>
      </c>
      <c r="T98" s="716">
        <f t="shared" si="33"/>
        <v>10000</v>
      </c>
      <c r="U98" s="717"/>
      <c r="V98" s="718"/>
      <c r="W98" s="718"/>
      <c r="X98" s="718"/>
      <c r="Y98" s="718"/>
      <c r="Z98" s="718"/>
      <c r="AA98" s="718"/>
      <c r="AB98" s="718"/>
      <c r="AC98" s="681" t="str">
        <f t="shared" si="31"/>
        <v>TFPIPELC-N</v>
      </c>
    </row>
    <row r="99" spans="1:29" x14ac:dyDescent="0.25">
      <c r="A99" s="227" t="s">
        <v>1086</v>
      </c>
      <c r="B99" s="220" t="str">
        <f>VLOOKUP($A99,ITEMS_Tech_N!$D$6:$E$122,2,FALSE)</f>
        <v>Transport Other -  Aviation Int Jet Fuel  Oil Jet Fuel-N</v>
      </c>
      <c r="C99" s="220" t="s">
        <v>1297</v>
      </c>
      <c r="D99" s="715" t="str">
        <f t="shared" si="28"/>
        <v>Other</v>
      </c>
      <c r="E99" s="220" t="s">
        <v>38</v>
      </c>
      <c r="F99" s="220"/>
      <c r="G99" s="220"/>
      <c r="H99" s="220"/>
      <c r="I99" s="683"/>
      <c r="J99" s="683"/>
      <c r="K99" s="683">
        <v>10000</v>
      </c>
      <c r="L99" s="232" t="s">
        <v>1241</v>
      </c>
      <c r="M99" s="220"/>
      <c r="N99" s="716">
        <f t="shared" si="34"/>
        <v>10000</v>
      </c>
      <c r="O99" s="716">
        <f t="shared" si="33"/>
        <v>10000</v>
      </c>
      <c r="P99" s="716">
        <f t="shared" si="33"/>
        <v>10000</v>
      </c>
      <c r="Q99" s="716">
        <f t="shared" si="33"/>
        <v>10000</v>
      </c>
      <c r="R99" s="716">
        <f t="shared" si="33"/>
        <v>10000</v>
      </c>
      <c r="S99" s="716">
        <f t="shared" si="33"/>
        <v>10000</v>
      </c>
      <c r="T99" s="716">
        <f t="shared" si="33"/>
        <v>10000</v>
      </c>
      <c r="U99" s="717"/>
      <c r="V99" s="718"/>
      <c r="W99" s="718"/>
      <c r="X99" s="718"/>
      <c r="Y99" s="718"/>
      <c r="Z99" s="718"/>
      <c r="AA99" s="718"/>
      <c r="AB99" s="718"/>
      <c r="AC99" s="681" t="str">
        <f t="shared" si="31"/>
        <v>TAIJETOKE-N</v>
      </c>
    </row>
    <row r="100" spans="1:29" x14ac:dyDescent="0.25">
      <c r="A100" s="227" t="s">
        <v>1088</v>
      </c>
      <c r="B100" s="220" t="str">
        <f>VLOOKUP($A100,ITEMS_Tech_N!$D$6:$E$122,2,FALSE)</f>
        <v>Transport Other -  Aviation Dom Jet Fuel  Oil Jet Fuel-N</v>
      </c>
      <c r="C100" s="220" t="s">
        <v>1298</v>
      </c>
      <c r="D100" s="715" t="str">
        <f t="shared" si="28"/>
        <v>Other</v>
      </c>
      <c r="E100" s="220" t="s">
        <v>38</v>
      </c>
      <c r="F100" s="220"/>
      <c r="G100" s="220"/>
      <c r="H100" s="220"/>
      <c r="I100" s="683"/>
      <c r="J100" s="683"/>
      <c r="K100" s="683">
        <v>10000</v>
      </c>
      <c r="L100" s="232" t="s">
        <v>1241</v>
      </c>
      <c r="M100" s="220"/>
      <c r="N100" s="716">
        <f t="shared" si="34"/>
        <v>10000</v>
      </c>
      <c r="O100" s="716">
        <f t="shared" si="33"/>
        <v>10000</v>
      </c>
      <c r="P100" s="716">
        <f t="shared" si="33"/>
        <v>10000</v>
      </c>
      <c r="Q100" s="716">
        <f t="shared" si="33"/>
        <v>10000</v>
      </c>
      <c r="R100" s="716">
        <f t="shared" si="33"/>
        <v>10000</v>
      </c>
      <c r="S100" s="716">
        <f t="shared" si="33"/>
        <v>10000</v>
      </c>
      <c r="T100" s="716">
        <f t="shared" si="33"/>
        <v>10000</v>
      </c>
      <c r="U100" s="717"/>
      <c r="V100" s="718"/>
      <c r="W100" s="718"/>
      <c r="X100" s="718"/>
      <c r="Y100" s="718"/>
      <c r="Z100" s="718"/>
      <c r="AA100" s="718"/>
      <c r="AB100" s="718"/>
      <c r="AC100" s="681" t="str">
        <f t="shared" si="31"/>
        <v>TADJETOKE-N</v>
      </c>
    </row>
    <row r="101" spans="1:29" x14ac:dyDescent="0.25">
      <c r="A101" s="227" t="s">
        <v>1090</v>
      </c>
      <c r="B101" s="220" t="str">
        <f>VLOOKUP($A101,ITEMS_Tech_N!$D$6:$E$122,2,FALSE)</f>
        <v>Transport Other - Aviation Gasoline T-N</v>
      </c>
      <c r="C101" s="220" t="s">
        <v>1298</v>
      </c>
      <c r="D101" s="715" t="str">
        <f t="shared" si="28"/>
        <v>Other</v>
      </c>
      <c r="E101" s="220" t="s">
        <v>38</v>
      </c>
      <c r="F101" s="220"/>
      <c r="G101" s="220"/>
      <c r="H101" s="220"/>
      <c r="I101" s="683"/>
      <c r="J101" s="683"/>
      <c r="K101" s="683">
        <v>10000</v>
      </c>
      <c r="L101" s="232" t="s">
        <v>1241</v>
      </c>
      <c r="M101" s="220"/>
      <c r="N101" s="716">
        <f t="shared" si="34"/>
        <v>10000</v>
      </c>
      <c r="O101" s="716">
        <f t="shared" si="33"/>
        <v>10000</v>
      </c>
      <c r="P101" s="716">
        <f t="shared" si="33"/>
        <v>10000</v>
      </c>
      <c r="Q101" s="716">
        <f t="shared" si="33"/>
        <v>10000</v>
      </c>
      <c r="R101" s="716">
        <f t="shared" si="33"/>
        <v>10000</v>
      </c>
      <c r="S101" s="716">
        <f t="shared" si="33"/>
        <v>10000</v>
      </c>
      <c r="T101" s="716">
        <f t="shared" si="33"/>
        <v>10000</v>
      </c>
      <c r="U101" s="717"/>
      <c r="V101" s="718"/>
      <c r="W101" s="718"/>
      <c r="X101" s="718"/>
      <c r="Y101" s="718"/>
      <c r="Z101" s="718"/>
      <c r="AA101" s="718"/>
      <c r="AB101" s="718"/>
      <c r="AC101" s="681" t="str">
        <f t="shared" si="31"/>
        <v>TAOAGOAG-N</v>
      </c>
    </row>
    <row r="102" spans="1:29" x14ac:dyDescent="0.25">
      <c r="A102" s="227" t="s">
        <v>1092</v>
      </c>
      <c r="B102" s="220" t="str">
        <f>VLOOKUP($A102,ITEMS_Tech_N!$D$6:$E$122,2,FALSE)</f>
        <v>Transport Other - HFO Oil HFO-N</v>
      </c>
      <c r="C102" s="220" t="s">
        <v>1299</v>
      </c>
      <c r="D102" s="715" t="str">
        <f t="shared" si="28"/>
        <v>Other</v>
      </c>
      <c r="E102" s="220" t="s">
        <v>1264</v>
      </c>
      <c r="F102" s="220"/>
      <c r="G102" s="220"/>
      <c r="H102" s="220"/>
      <c r="I102" s="683"/>
      <c r="J102" s="683"/>
      <c r="K102" s="683">
        <v>10000</v>
      </c>
      <c r="L102" s="232" t="s">
        <v>1241</v>
      </c>
      <c r="M102" s="220"/>
      <c r="N102" s="716">
        <f t="shared" si="34"/>
        <v>10000</v>
      </c>
      <c r="O102" s="716">
        <f t="shared" si="33"/>
        <v>10000</v>
      </c>
      <c r="P102" s="716">
        <f t="shared" si="33"/>
        <v>10000</v>
      </c>
      <c r="Q102" s="716">
        <f t="shared" si="33"/>
        <v>10000</v>
      </c>
      <c r="R102" s="716">
        <f t="shared" si="33"/>
        <v>10000</v>
      </c>
      <c r="S102" s="716">
        <f t="shared" si="33"/>
        <v>10000</v>
      </c>
      <c r="T102" s="716">
        <f t="shared" si="33"/>
        <v>10000</v>
      </c>
      <c r="U102" s="717"/>
      <c r="V102" s="718"/>
      <c r="W102" s="718"/>
      <c r="X102" s="718"/>
      <c r="Y102" s="718"/>
      <c r="Z102" s="718"/>
      <c r="AA102" s="718"/>
      <c r="AB102" s="718"/>
      <c r="AC102" s="681" t="str">
        <f t="shared" si="31"/>
        <v>TSHFOOHF-N</v>
      </c>
    </row>
  </sheetData>
  <autoFilter ref="A12:AC102" xr:uid="{10D7B1CD-5FCD-427A-AA84-202EC10D8985}"/>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913870-50BF-412C-9CB6-700B649B8315}">
  <sheetPr>
    <tabColor theme="8" tint="0.79998168889431442"/>
  </sheetPr>
  <dimension ref="D1:BM107"/>
  <sheetViews>
    <sheetView workbookViewId="0"/>
  </sheetViews>
  <sheetFormatPr defaultColWidth="8.42578125" defaultRowHeight="12.75" outlineLevelCol="1" x14ac:dyDescent="0.25"/>
  <cols>
    <col min="1" max="3" width="8.42578125" style="399"/>
    <col min="4" max="4" width="25" style="399" customWidth="1"/>
    <col min="5" max="5" width="22.85546875" style="399" customWidth="1"/>
    <col min="6" max="6" width="11.42578125" style="399" customWidth="1" outlineLevel="1"/>
    <col min="7" max="7" width="10.42578125" style="399" customWidth="1" outlineLevel="1"/>
    <col min="8" max="8" width="10.42578125" style="504" customWidth="1" outlineLevel="1"/>
    <col min="9" max="10" width="10" style="399" customWidth="1" outlineLevel="1"/>
    <col min="11" max="12" width="9.85546875" style="399" customWidth="1" outlineLevel="1"/>
    <col min="13" max="13" width="10" style="399" customWidth="1" outlineLevel="1"/>
    <col min="14" max="21" width="15.42578125" style="412" customWidth="1"/>
    <col min="22" max="22" width="8.42578125" style="399" customWidth="1"/>
    <col min="23" max="41" width="8.42578125" style="399"/>
    <col min="42" max="42" width="11.85546875" style="399" customWidth="1"/>
    <col min="43" max="16384" width="8.42578125" style="399"/>
  </cols>
  <sheetData>
    <row r="1" spans="4:65" ht="16.5" thickTop="1" x14ac:dyDescent="0.25">
      <c r="E1" s="400" t="s">
        <v>1124</v>
      </c>
      <c r="F1" s="401"/>
      <c r="G1" s="401"/>
      <c r="H1" s="401"/>
      <c r="I1" s="401"/>
      <c r="J1" s="401"/>
      <c r="K1" s="401"/>
      <c r="L1" s="401"/>
      <c r="M1" s="402"/>
      <c r="N1" s="403"/>
      <c r="O1" s="404"/>
      <c r="P1" s="405"/>
      <c r="Q1" s="405"/>
      <c r="R1" s="405"/>
      <c r="S1" s="405"/>
      <c r="T1" s="405"/>
      <c r="U1" s="406"/>
    </row>
    <row r="2" spans="4:65" ht="15" x14ac:dyDescent="0.25">
      <c r="E2" s="407">
        <v>13.7674</v>
      </c>
      <c r="F2" s="399" t="s">
        <v>1125</v>
      </c>
      <c r="H2" s="399"/>
      <c r="M2" s="408"/>
      <c r="N2" s="409" t="s">
        <v>1126</v>
      </c>
      <c r="O2" s="410">
        <v>1.6493660714285712</v>
      </c>
      <c r="P2" s="411" t="s">
        <v>1127</v>
      </c>
      <c r="U2" s="413"/>
    </row>
    <row r="3" spans="4:65" x14ac:dyDescent="0.2">
      <c r="E3" s="414" t="s">
        <v>1128</v>
      </c>
      <c r="F3" s="415" t="s">
        <v>1129</v>
      </c>
      <c r="G3" s="416">
        <v>0.08</v>
      </c>
      <c r="H3" s="417"/>
      <c r="I3" s="418"/>
      <c r="J3" s="418"/>
      <c r="K3" s="418"/>
      <c r="L3" s="418"/>
      <c r="M3" s="419"/>
      <c r="N3" s="420" t="s">
        <v>1130</v>
      </c>
      <c r="O3" s="421"/>
      <c r="P3" s="422"/>
      <c r="S3" s="423"/>
      <c r="T3" s="423"/>
      <c r="U3" s="424"/>
      <c r="V3" s="399" t="s">
        <v>1212</v>
      </c>
      <c r="W3" s="418"/>
      <c r="X3" s="418"/>
      <c r="AF3" s="399" t="s">
        <v>1213</v>
      </c>
      <c r="AO3" s="425" t="s">
        <v>1131</v>
      </c>
      <c r="AP3" s="399" t="s">
        <v>1132</v>
      </c>
      <c r="AV3" s="399" t="s">
        <v>1133</v>
      </c>
      <c r="BB3" s="399" t="s">
        <v>1134</v>
      </c>
    </row>
    <row r="4" spans="4:65" x14ac:dyDescent="0.2">
      <c r="E4" s="426" t="s">
        <v>1118</v>
      </c>
      <c r="F4" s="427">
        <v>2010</v>
      </c>
      <c r="G4" s="427">
        <v>2020</v>
      </c>
      <c r="H4" s="428">
        <v>2025</v>
      </c>
      <c r="I4" s="427">
        <v>2030</v>
      </c>
      <c r="J4" s="429">
        <v>2035</v>
      </c>
      <c r="K4" s="427">
        <v>2040</v>
      </c>
      <c r="L4" s="429">
        <v>2045</v>
      </c>
      <c r="M4" s="430">
        <v>2050</v>
      </c>
      <c r="N4" s="431">
        <f t="shared" ref="N4:U4" si="0">F4</f>
        <v>2010</v>
      </c>
      <c r="O4" s="432">
        <f t="shared" si="0"/>
        <v>2020</v>
      </c>
      <c r="P4" s="432">
        <f t="shared" si="0"/>
        <v>2025</v>
      </c>
      <c r="Q4" s="432">
        <f t="shared" si="0"/>
        <v>2030</v>
      </c>
      <c r="R4" s="432">
        <f t="shared" si="0"/>
        <v>2035</v>
      </c>
      <c r="S4" s="432">
        <f t="shared" si="0"/>
        <v>2040</v>
      </c>
      <c r="T4" s="432">
        <f t="shared" si="0"/>
        <v>2045</v>
      </c>
      <c r="U4" s="433">
        <f t="shared" si="0"/>
        <v>2050</v>
      </c>
      <c r="V4" s="399">
        <f t="shared" ref="V4:W4" si="1">F4</f>
        <v>2010</v>
      </c>
      <c r="W4" s="399">
        <f t="shared" si="1"/>
        <v>2020</v>
      </c>
      <c r="X4" s="399">
        <f t="shared" ref="X4:AC4" si="2">H4</f>
        <v>2025</v>
      </c>
      <c r="Y4" s="399">
        <f t="shared" si="2"/>
        <v>2030</v>
      </c>
      <c r="Z4" s="399">
        <f t="shared" si="2"/>
        <v>2035</v>
      </c>
      <c r="AA4" s="399">
        <f t="shared" si="2"/>
        <v>2040</v>
      </c>
      <c r="AB4" s="399">
        <f t="shared" si="2"/>
        <v>2045</v>
      </c>
      <c r="AC4" s="399">
        <f t="shared" si="2"/>
        <v>2050</v>
      </c>
      <c r="AD4" s="654">
        <v>2024</v>
      </c>
      <c r="AF4" s="655">
        <v>2010</v>
      </c>
      <c r="AG4" s="655">
        <v>2020</v>
      </c>
      <c r="AH4" s="655">
        <v>2025</v>
      </c>
      <c r="AI4" s="655">
        <v>2030</v>
      </c>
      <c r="AJ4" s="655">
        <v>2035</v>
      </c>
      <c r="AK4" s="655">
        <v>2040</v>
      </c>
      <c r="AL4" s="655">
        <v>2045</v>
      </c>
      <c r="AM4" s="655">
        <v>2050</v>
      </c>
      <c r="AO4" s="427" t="s">
        <v>1118</v>
      </c>
      <c r="AP4" s="427">
        <v>2010</v>
      </c>
      <c r="AQ4" s="427">
        <v>2020</v>
      </c>
      <c r="AR4" s="427">
        <v>2030</v>
      </c>
      <c r="AS4" s="427">
        <v>2040</v>
      </c>
      <c r="AT4" s="427">
        <v>2050</v>
      </c>
      <c r="AV4" s="399">
        <f>AP4</f>
        <v>2010</v>
      </c>
      <c r="AW4" s="399">
        <f>AQ4</f>
        <v>2020</v>
      </c>
      <c r="AX4" s="399">
        <f>AR4</f>
        <v>2030</v>
      </c>
      <c r="AY4" s="399">
        <f>AS4</f>
        <v>2040</v>
      </c>
      <c r="AZ4" s="399">
        <f>AT4</f>
        <v>2050</v>
      </c>
      <c r="BB4" s="399">
        <f>AV4</f>
        <v>2010</v>
      </c>
      <c r="BC4" s="399">
        <f>AW4</f>
        <v>2020</v>
      </c>
      <c r="BD4" s="399">
        <f>AX4</f>
        <v>2030</v>
      </c>
      <c r="BE4" s="399">
        <f>AY4</f>
        <v>2040</v>
      </c>
      <c r="BF4" s="399">
        <f>AZ4</f>
        <v>2050</v>
      </c>
    </row>
    <row r="5" spans="4:65" ht="13.5" thickBot="1" x14ac:dyDescent="0.25">
      <c r="E5" s="434" t="s">
        <v>1135</v>
      </c>
      <c r="F5" s="435" t="s">
        <v>878</v>
      </c>
      <c r="G5" s="435" t="s">
        <v>878</v>
      </c>
      <c r="H5" s="436" t="s">
        <v>1136</v>
      </c>
      <c r="I5" s="435" t="s">
        <v>878</v>
      </c>
      <c r="J5" s="437" t="s">
        <v>1136</v>
      </c>
      <c r="K5" s="435" t="s">
        <v>878</v>
      </c>
      <c r="L5" s="437" t="s">
        <v>1136</v>
      </c>
      <c r="M5" s="438" t="s">
        <v>878</v>
      </c>
      <c r="N5" s="439" t="s">
        <v>1137</v>
      </c>
      <c r="O5" s="412" t="s">
        <v>1137</v>
      </c>
      <c r="P5" s="412" t="s">
        <v>1137</v>
      </c>
      <c r="Q5" s="412" t="s">
        <v>1137</v>
      </c>
      <c r="R5" s="412" t="s">
        <v>1137</v>
      </c>
      <c r="S5" s="412" t="s">
        <v>1137</v>
      </c>
      <c r="T5" s="412" t="s">
        <v>1137</v>
      </c>
      <c r="U5" s="413" t="s">
        <v>1137</v>
      </c>
      <c r="V5" s="399" t="s">
        <v>1138</v>
      </c>
      <c r="W5" s="399" t="s">
        <v>1138</v>
      </c>
      <c r="AD5" s="654"/>
      <c r="AF5" s="655"/>
      <c r="AG5" s="655"/>
      <c r="AH5" s="655"/>
      <c r="AI5" s="655"/>
      <c r="AJ5" s="655"/>
      <c r="AK5" s="655"/>
      <c r="AL5" s="655"/>
      <c r="AM5" s="655"/>
      <c r="AO5" s="440" t="s">
        <v>1139</v>
      </c>
      <c r="AP5" s="441" t="s">
        <v>1140</v>
      </c>
      <c r="AQ5" s="441" t="s">
        <v>1140</v>
      </c>
      <c r="AR5" s="441" t="s">
        <v>1140</v>
      </c>
      <c r="AS5" s="441" t="s">
        <v>1140</v>
      </c>
      <c r="AT5" s="441" t="s">
        <v>1140</v>
      </c>
    </row>
    <row r="6" spans="4:65" ht="15" x14ac:dyDescent="0.2">
      <c r="D6" s="399" t="str">
        <f>E4</f>
        <v>Passenger Car</v>
      </c>
      <c r="E6" s="442" t="s">
        <v>1112</v>
      </c>
      <c r="F6" s="443">
        <v>14106.969670152857</v>
      </c>
      <c r="G6" s="443">
        <v>15275.702468545833</v>
      </c>
      <c r="H6" s="444">
        <f t="shared" ref="H6:H18" si="3">AVERAGE(G6,I6)</f>
        <v>15535.838446469748</v>
      </c>
      <c r="I6" s="443">
        <v>15795.974424393664</v>
      </c>
      <c r="J6" s="444">
        <f t="shared" ref="J6:J18" si="4">AVERAGE(I6,K6)</f>
        <v>15969.064607998534</v>
      </c>
      <c r="K6" s="443">
        <v>16142.154791603403</v>
      </c>
      <c r="L6" s="444">
        <f t="shared" ref="L6:L18" si="5">AVERAGE(K6,M6)</f>
        <v>16243.065948633179</v>
      </c>
      <c r="M6" s="445">
        <v>16343.977105662956</v>
      </c>
      <c r="N6" s="446">
        <f>F6*$E$2*$O$2</f>
        <v>320333.76623286924</v>
      </c>
      <c r="O6" s="447">
        <f t="shared" ref="O6:U18" si="6">G6*$E$2*$O$2</f>
        <v>346872.74574320414</v>
      </c>
      <c r="P6" s="447">
        <f t="shared" si="6"/>
        <v>352779.77889698959</v>
      </c>
      <c r="Q6" s="447">
        <f t="shared" si="6"/>
        <v>358686.81205077504</v>
      </c>
      <c r="R6" s="447">
        <f t="shared" si="6"/>
        <v>362617.25435755897</v>
      </c>
      <c r="S6" s="447">
        <f t="shared" si="6"/>
        <v>366547.69666434289</v>
      </c>
      <c r="T6" s="447">
        <f t="shared" si="6"/>
        <v>368839.13499178592</v>
      </c>
      <c r="U6" s="448">
        <f t="shared" si="6"/>
        <v>371130.57331922901</v>
      </c>
      <c r="V6" s="449">
        <f>F6/$F6</f>
        <v>1</v>
      </c>
      <c r="W6" s="449">
        <f t="shared" ref="W6:AC6" si="7">G6/$F6</f>
        <v>1.0828478989974544</v>
      </c>
      <c r="X6" s="449">
        <f t="shared" si="7"/>
        <v>1.1012881440682512</v>
      </c>
      <c r="Y6" s="449">
        <f t="shared" si="7"/>
        <v>1.1197283891390479</v>
      </c>
      <c r="Z6" s="449">
        <f t="shared" si="7"/>
        <v>1.1319982236713422</v>
      </c>
      <c r="AA6" s="449">
        <f t="shared" si="7"/>
        <v>1.1442680582036364</v>
      </c>
      <c r="AB6" s="449">
        <f t="shared" si="7"/>
        <v>1.1514213419626056</v>
      </c>
      <c r="AC6" s="449">
        <f t="shared" si="7"/>
        <v>1.158574625721575</v>
      </c>
      <c r="AD6" s="654">
        <f>_xlfn.FORECAST.LINEAR($AD$4,$W6:$X6,$W$4:$X$4)</f>
        <v>1.0976000950540916</v>
      </c>
      <c r="AF6" s="655">
        <f>V6/$AD6</f>
        <v>0.91107863830015279</v>
      </c>
      <c r="AG6" s="655">
        <f>W6/$AD6</f>
        <v>0.98655958930478205</v>
      </c>
      <c r="AH6" s="655">
        <f t="shared" ref="AH6:AM18" si="8">X6/$AD6</f>
        <v>1.0033601026738046</v>
      </c>
      <c r="AI6" s="655">
        <f t="shared" si="8"/>
        <v>1.0201606160428274</v>
      </c>
      <c r="AJ6" s="655">
        <f t="shared" si="8"/>
        <v>1.0313394001806782</v>
      </c>
      <c r="AK6" s="655">
        <f t="shared" si="8"/>
        <v>1.0425181843185289</v>
      </c>
      <c r="AL6" s="655">
        <f t="shared" si="8"/>
        <v>1.0490353883450252</v>
      </c>
      <c r="AM6" s="655">
        <f t="shared" si="8"/>
        <v>1.0555525923715217</v>
      </c>
      <c r="AO6" s="450" t="s">
        <v>1112</v>
      </c>
      <c r="AP6" s="451">
        <v>2.7731584934931535</v>
      </c>
      <c r="AQ6" s="451">
        <v>2.0718600724531742</v>
      </c>
      <c r="AR6" s="451">
        <v>1.6924435330873051</v>
      </c>
      <c r="AS6" s="451">
        <v>1.5062933039675674</v>
      </c>
      <c r="AT6" s="451">
        <v>1.3837225479656539</v>
      </c>
      <c r="AV6" s="399">
        <v>1</v>
      </c>
      <c r="AW6" s="399">
        <v>1</v>
      </c>
      <c r="AX6" s="399">
        <v>1</v>
      </c>
      <c r="AY6" s="399">
        <v>1</v>
      </c>
      <c r="AZ6" s="399">
        <v>1</v>
      </c>
      <c r="BB6" s="452">
        <f t="shared" ref="BB6:BF18" si="9">AP6/AV6</f>
        <v>2.7731584934931535</v>
      </c>
      <c r="BC6" s="452">
        <f t="shared" si="9"/>
        <v>2.0718600724531742</v>
      </c>
      <c r="BD6" s="452">
        <f t="shared" si="9"/>
        <v>1.6924435330873051</v>
      </c>
      <c r="BE6" s="452">
        <f t="shared" si="9"/>
        <v>1.5062933039675674</v>
      </c>
      <c r="BF6" s="452">
        <f t="shared" si="9"/>
        <v>1.3837225479656539</v>
      </c>
    </row>
    <row r="7" spans="4:65" ht="15" x14ac:dyDescent="0.2">
      <c r="D7" s="399" t="str">
        <f t="shared" ref="D7:D20" si="10">D6</f>
        <v>Passenger Car</v>
      </c>
      <c r="E7" s="442" t="s">
        <v>1111</v>
      </c>
      <c r="F7" s="443">
        <v>14560.769670152857</v>
      </c>
      <c r="G7" s="443">
        <v>15983.921891910022</v>
      </c>
      <c r="H7" s="444">
        <f t="shared" si="3"/>
        <v>16232.445908821937</v>
      </c>
      <c r="I7" s="443">
        <v>16480.969925733854</v>
      </c>
      <c r="J7" s="444">
        <f t="shared" si="4"/>
        <v>16662.303466899051</v>
      </c>
      <c r="K7" s="443">
        <v>16843.637008064252</v>
      </c>
      <c r="L7" s="444">
        <f t="shared" si="5"/>
        <v>16946.971696045381</v>
      </c>
      <c r="M7" s="445">
        <v>17050.306384026513</v>
      </c>
      <c r="N7" s="453">
        <f t="shared" ref="N7:N18" si="11">F7*$E$2*$O$2</f>
        <v>330638.42176948959</v>
      </c>
      <c r="O7" s="454">
        <f t="shared" si="6"/>
        <v>362954.6258712603</v>
      </c>
      <c r="P7" s="454">
        <f t="shared" si="6"/>
        <v>368597.98062413489</v>
      </c>
      <c r="Q7" s="454">
        <f t="shared" si="6"/>
        <v>374241.33537700953</v>
      </c>
      <c r="R7" s="454">
        <f t="shared" si="6"/>
        <v>378358.96358093841</v>
      </c>
      <c r="S7" s="454">
        <f t="shared" si="6"/>
        <v>382476.5917848674</v>
      </c>
      <c r="T7" s="454">
        <f t="shared" si="6"/>
        <v>384823.06239885965</v>
      </c>
      <c r="U7" s="455">
        <f t="shared" si="6"/>
        <v>387169.53301285196</v>
      </c>
      <c r="V7" s="449">
        <f t="shared" ref="V7:V68" si="12">F7/$F7</f>
        <v>1</v>
      </c>
      <c r="W7" s="449">
        <f t="shared" ref="W7:W68" si="13">G7/$F7</f>
        <v>1.0977388046096486</v>
      </c>
      <c r="X7" s="449">
        <f t="shared" ref="X7:X68" si="14">H7/$F7</f>
        <v>1.114806859564281</v>
      </c>
      <c r="Y7" s="449">
        <f t="shared" ref="Y7:Y68" si="15">I7/$F7</f>
        <v>1.1318749145189135</v>
      </c>
      <c r="Z7" s="449">
        <f t="shared" ref="Z7:Z68" si="16">J7/$F7</f>
        <v>1.1443284829272444</v>
      </c>
      <c r="AA7" s="449">
        <f t="shared" ref="AA7:AA68" si="17">K7/$F7</f>
        <v>1.1567820513355755</v>
      </c>
      <c r="AB7" s="449">
        <f t="shared" ref="AB7:AB68" si="18">L7/$F7</f>
        <v>1.1638788388215384</v>
      </c>
      <c r="AC7" s="449">
        <f t="shared" ref="AC7:AC68" si="19">M7/$F7</f>
        <v>1.1709756263075015</v>
      </c>
      <c r="AD7" s="654">
        <f t="shared" ref="AD7:AD18" si="20">_xlfn.FORECAST.LINEAR($AD$4,$W7:$X7,$W$4:$X$4)</f>
        <v>1.1113932485733544</v>
      </c>
      <c r="AF7" s="655">
        <f t="shared" ref="AF7:AF18" si="21">V7/$AD7</f>
        <v>0.89977152667037974</v>
      </c>
      <c r="AG7" s="655">
        <f t="shared" ref="AG7:AG18" si="22">W7/$AD7</f>
        <v>0.98771412010894122</v>
      </c>
      <c r="AH7" s="655">
        <f t="shared" si="8"/>
        <v>1.0030714699727648</v>
      </c>
      <c r="AI7" s="655">
        <f t="shared" si="8"/>
        <v>1.0184288198365885</v>
      </c>
      <c r="AJ7" s="655">
        <f t="shared" si="8"/>
        <v>1.0296341860958464</v>
      </c>
      <c r="AK7" s="655">
        <f t="shared" si="8"/>
        <v>1.0408395523551044</v>
      </c>
      <c r="AL7" s="655">
        <f t="shared" si="8"/>
        <v>1.0472250396658045</v>
      </c>
      <c r="AM7" s="655">
        <f t="shared" si="8"/>
        <v>1.0536105269765048</v>
      </c>
      <c r="AO7" s="450" t="s">
        <v>1111</v>
      </c>
      <c r="AP7" s="451">
        <v>2.2264912113239048</v>
      </c>
      <c r="AQ7" s="451">
        <v>1.7539919646296771</v>
      </c>
      <c r="AR7" s="451">
        <v>1.4571673890360914</v>
      </c>
      <c r="AS7" s="451">
        <v>1.3029113464752489</v>
      </c>
      <c r="AT7" s="451">
        <v>1.195582159057512</v>
      </c>
      <c r="AV7" s="399">
        <v>1</v>
      </c>
      <c r="AW7" s="399">
        <v>1</v>
      </c>
      <c r="AX7" s="399">
        <v>1</v>
      </c>
      <c r="AY7" s="399">
        <v>1</v>
      </c>
      <c r="AZ7" s="399">
        <v>1</v>
      </c>
      <c r="BB7" s="452">
        <f t="shared" si="9"/>
        <v>2.2264912113239048</v>
      </c>
      <c r="BC7" s="452">
        <f t="shared" si="9"/>
        <v>1.7539919646296771</v>
      </c>
      <c r="BD7" s="452">
        <f t="shared" si="9"/>
        <v>1.4571673890360914</v>
      </c>
      <c r="BE7" s="452">
        <f t="shared" si="9"/>
        <v>1.3029113464752489</v>
      </c>
      <c r="BF7" s="452">
        <f t="shared" si="9"/>
        <v>1.195582159057512</v>
      </c>
    </row>
    <row r="8" spans="4:65" ht="15" x14ac:dyDescent="0.2">
      <c r="D8" s="399" t="str">
        <f t="shared" si="10"/>
        <v>Passenger Car</v>
      </c>
      <c r="E8" s="442" t="s">
        <v>1114</v>
      </c>
      <c r="F8" s="443">
        <v>17377.456235607926</v>
      </c>
      <c r="G8" s="443">
        <v>16497.956468581931</v>
      </c>
      <c r="H8" s="444">
        <f t="shared" si="3"/>
        <v>16355.606170887138</v>
      </c>
      <c r="I8" s="443">
        <v>16213.255873192345</v>
      </c>
      <c r="J8" s="444">
        <f t="shared" si="4"/>
        <v>16235.926074457077</v>
      </c>
      <c r="K8" s="443">
        <v>16258.596275721808</v>
      </c>
      <c r="L8" s="444">
        <f t="shared" si="5"/>
        <v>16265.716299334774</v>
      </c>
      <c r="M8" s="445">
        <v>16272.83632294774</v>
      </c>
      <c r="N8" s="453">
        <f t="shared" si="11"/>
        <v>394598.28252674115</v>
      </c>
      <c r="O8" s="454">
        <f t="shared" si="6"/>
        <v>374627.05700064875</v>
      </c>
      <c r="P8" s="454">
        <f t="shared" si="6"/>
        <v>371394.64011373778</v>
      </c>
      <c r="Q8" s="454">
        <f t="shared" si="6"/>
        <v>368162.22322682675</v>
      </c>
      <c r="R8" s="454">
        <f t="shared" si="6"/>
        <v>368677.00642422412</v>
      </c>
      <c r="S8" s="454">
        <f t="shared" si="6"/>
        <v>369191.78962162149</v>
      </c>
      <c r="T8" s="454">
        <f t="shared" si="6"/>
        <v>369353.46743286919</v>
      </c>
      <c r="U8" s="455">
        <f t="shared" si="6"/>
        <v>369515.14524411689</v>
      </c>
      <c r="V8" s="449">
        <f t="shared" si="12"/>
        <v>1</v>
      </c>
      <c r="W8" s="449">
        <f t="shared" si="13"/>
        <v>0.94938846312708169</v>
      </c>
      <c r="X8" s="449">
        <f t="shared" si="14"/>
        <v>0.94119679826170832</v>
      </c>
      <c r="Y8" s="449">
        <f t="shared" si="15"/>
        <v>0.93300513339633495</v>
      </c>
      <c r="Z8" s="449">
        <f t="shared" si="16"/>
        <v>0.93430970875865282</v>
      </c>
      <c r="AA8" s="449">
        <f t="shared" si="17"/>
        <v>0.9356142841209707</v>
      </c>
      <c r="AB8" s="449">
        <f t="shared" si="18"/>
        <v>0.93602401173106686</v>
      </c>
      <c r="AC8" s="449">
        <f t="shared" si="19"/>
        <v>0.93643373934116303</v>
      </c>
      <c r="AD8" s="654">
        <f t="shared" si="20"/>
        <v>0.94283513123478313</v>
      </c>
      <c r="AF8" s="655">
        <f t="shared" si="21"/>
        <v>1.0606308217326936</v>
      </c>
      <c r="AG8" s="655">
        <f t="shared" si="22"/>
        <v>1.0069506657900158</v>
      </c>
      <c r="AH8" s="655">
        <f t="shared" si="8"/>
        <v>0.99826233355249594</v>
      </c>
      <c r="AI8" s="655">
        <f t="shared" si="8"/>
        <v>0.98957400131497608</v>
      </c>
      <c r="AJ8" s="655">
        <f t="shared" si="8"/>
        <v>0.99095767415352354</v>
      </c>
      <c r="AK8" s="655">
        <f t="shared" si="8"/>
        <v>0.99234134699207099</v>
      </c>
      <c r="AL8" s="655">
        <f t="shared" si="8"/>
        <v>0.99277591672385379</v>
      </c>
      <c r="AM8" s="655">
        <f t="shared" si="8"/>
        <v>0.9932104864556367</v>
      </c>
      <c r="AO8" s="450" t="s">
        <v>1114</v>
      </c>
      <c r="AP8" s="451">
        <v>2.118957461890536</v>
      </c>
      <c r="AQ8" s="451">
        <v>1.6900840244838968</v>
      </c>
      <c r="AR8" s="451">
        <v>1.4497532132450688</v>
      </c>
      <c r="AS8" s="451">
        <v>1.3237068989033129</v>
      </c>
      <c r="AT8" s="451">
        <v>1.2074894913527994</v>
      </c>
      <c r="AV8" s="399">
        <v>1</v>
      </c>
      <c r="AW8" s="399">
        <v>1</v>
      </c>
      <c r="AX8" s="399">
        <v>1</v>
      </c>
      <c r="AY8" s="399">
        <v>1</v>
      </c>
      <c r="AZ8" s="399">
        <v>1</v>
      </c>
      <c r="BB8" s="452">
        <f t="shared" si="9"/>
        <v>2.118957461890536</v>
      </c>
      <c r="BC8" s="452">
        <f t="shared" si="9"/>
        <v>1.6900840244838968</v>
      </c>
      <c r="BD8" s="452">
        <f t="shared" si="9"/>
        <v>1.4497532132450688</v>
      </c>
      <c r="BE8" s="452">
        <f t="shared" si="9"/>
        <v>1.3237068989033129</v>
      </c>
      <c r="BF8" s="452">
        <f t="shared" si="9"/>
        <v>1.2074894913527994</v>
      </c>
    </row>
    <row r="9" spans="4:65" ht="15" x14ac:dyDescent="0.2">
      <c r="D9" s="399" t="str">
        <f t="shared" si="10"/>
        <v>Passenger Car</v>
      </c>
      <c r="E9" s="442" t="s">
        <v>1113</v>
      </c>
      <c r="F9" s="443">
        <v>17420.215126456082</v>
      </c>
      <c r="G9" s="443">
        <v>17003.178593969536</v>
      </c>
      <c r="H9" s="444">
        <f t="shared" si="3"/>
        <v>16868.59464958309</v>
      </c>
      <c r="I9" s="443">
        <v>16734.010705196644</v>
      </c>
      <c r="J9" s="444">
        <f t="shared" si="4"/>
        <v>16767.521855900653</v>
      </c>
      <c r="K9" s="443">
        <v>16801.033006604659</v>
      </c>
      <c r="L9" s="444">
        <f t="shared" si="5"/>
        <v>16812.068860047224</v>
      </c>
      <c r="M9" s="445">
        <v>16823.104713489789</v>
      </c>
      <c r="N9" s="453">
        <f t="shared" si="11"/>
        <v>395569.22929033346</v>
      </c>
      <c r="O9" s="454">
        <f t="shared" si="6"/>
        <v>386099.37954714173</v>
      </c>
      <c r="P9" s="454">
        <f t="shared" si="6"/>
        <v>383043.31699169439</v>
      </c>
      <c r="Q9" s="454">
        <f t="shared" si="6"/>
        <v>379987.25443624699</v>
      </c>
      <c r="R9" s="454">
        <f t="shared" si="6"/>
        <v>380748.20830279746</v>
      </c>
      <c r="S9" s="454">
        <f t="shared" si="6"/>
        <v>381509.16216934781</v>
      </c>
      <c r="T9" s="454">
        <f t="shared" si="6"/>
        <v>381759.75861773535</v>
      </c>
      <c r="U9" s="455">
        <f t="shared" si="6"/>
        <v>382010.35506612284</v>
      </c>
      <c r="V9" s="449">
        <f t="shared" si="12"/>
        <v>1</v>
      </c>
      <c r="W9" s="449">
        <f t="shared" si="13"/>
        <v>0.97606019618820938</v>
      </c>
      <c r="X9" s="449">
        <f t="shared" si="14"/>
        <v>0.96833446241227839</v>
      </c>
      <c r="Y9" s="449">
        <f t="shared" si="15"/>
        <v>0.96060872863634739</v>
      </c>
      <c r="Z9" s="449">
        <f t="shared" si="16"/>
        <v>0.96253242191227695</v>
      </c>
      <c r="AA9" s="449">
        <f t="shared" si="17"/>
        <v>0.96445611518820618</v>
      </c>
      <c r="AB9" s="449">
        <f t="shared" si="18"/>
        <v>0.96508962363586048</v>
      </c>
      <c r="AC9" s="449">
        <f t="shared" si="19"/>
        <v>0.96572313208351479</v>
      </c>
      <c r="AD9" s="654">
        <f t="shared" si="20"/>
        <v>0.96987960916746419</v>
      </c>
      <c r="AF9" s="655">
        <f t="shared" si="21"/>
        <v>1.0310558037800082</v>
      </c>
      <c r="AG9" s="655">
        <f t="shared" si="22"/>
        <v>1.0063725301185067</v>
      </c>
      <c r="AH9" s="655">
        <f t="shared" si="8"/>
        <v>0.99840686747037388</v>
      </c>
      <c r="AI9" s="655">
        <f t="shared" si="8"/>
        <v>0.99044120482224096</v>
      </c>
      <c r="AJ9" s="655">
        <f t="shared" si="8"/>
        <v>0.9924246399390807</v>
      </c>
      <c r="AK9" s="655">
        <f t="shared" si="8"/>
        <v>0.9944080750559201</v>
      </c>
      <c r="AL9" s="655">
        <f t="shared" si="8"/>
        <v>0.99506125761761777</v>
      </c>
      <c r="AM9" s="655">
        <f t="shared" si="8"/>
        <v>0.99571444017931532</v>
      </c>
      <c r="AO9" s="450" t="s">
        <v>1113</v>
      </c>
      <c r="AP9" s="451">
        <v>1.7693016047311396</v>
      </c>
      <c r="AQ9" s="451">
        <v>1.4910156121909575</v>
      </c>
      <c r="AR9" s="451">
        <v>1.3037709765268612</v>
      </c>
      <c r="AS9" s="451">
        <v>1.1983619127235638</v>
      </c>
      <c r="AT9" s="451">
        <v>1.0928745831009152</v>
      </c>
      <c r="AV9" s="399">
        <v>1</v>
      </c>
      <c r="AW9" s="399">
        <v>1</v>
      </c>
      <c r="AX9" s="399">
        <v>1</v>
      </c>
      <c r="AY9" s="399">
        <v>1</v>
      </c>
      <c r="AZ9" s="399">
        <v>1</v>
      </c>
      <c r="BB9" s="452">
        <f t="shared" si="9"/>
        <v>1.7693016047311396</v>
      </c>
      <c r="BC9" s="452">
        <f t="shared" si="9"/>
        <v>1.4910156121909575</v>
      </c>
      <c r="BD9" s="452">
        <f t="shared" si="9"/>
        <v>1.3037709765268612</v>
      </c>
      <c r="BE9" s="452">
        <f t="shared" si="9"/>
        <v>1.1983619127235638</v>
      </c>
      <c r="BF9" s="452">
        <f t="shared" si="9"/>
        <v>1.0928745831009152</v>
      </c>
    </row>
    <row r="10" spans="4:65" ht="15" x14ac:dyDescent="0.2">
      <c r="D10" s="399" t="str">
        <f t="shared" si="10"/>
        <v>Passenger Car</v>
      </c>
      <c r="E10" s="442" t="s">
        <v>1141</v>
      </c>
      <c r="F10" s="443">
        <v>23176.881694276577</v>
      </c>
      <c r="G10" s="443">
        <v>18823.240682720389</v>
      </c>
      <c r="H10" s="444">
        <f t="shared" si="3"/>
        <v>18240.04659780518</v>
      </c>
      <c r="I10" s="443">
        <v>17656.852512889975</v>
      </c>
      <c r="J10" s="444">
        <f t="shared" si="4"/>
        <v>17598.439259906336</v>
      </c>
      <c r="K10" s="443">
        <v>17540.026006922693</v>
      </c>
      <c r="L10" s="444">
        <f t="shared" si="5"/>
        <v>17472.460047069755</v>
      </c>
      <c r="M10" s="445">
        <v>17404.89408721682</v>
      </c>
      <c r="N10" s="453">
        <f t="shared" si="11"/>
        <v>526288.63435989886</v>
      </c>
      <c r="O10" s="454">
        <f t="shared" si="6"/>
        <v>427428.40748861211</v>
      </c>
      <c r="P10" s="454">
        <f t="shared" si="6"/>
        <v>414185.53803941479</v>
      </c>
      <c r="Q10" s="454">
        <f t="shared" si="6"/>
        <v>400942.66859021754</v>
      </c>
      <c r="R10" s="454">
        <f t="shared" si="6"/>
        <v>399616.25067313982</v>
      </c>
      <c r="S10" s="454">
        <f t="shared" si="6"/>
        <v>398289.83275606204</v>
      </c>
      <c r="T10" s="454">
        <f t="shared" si="6"/>
        <v>396755.5799083634</v>
      </c>
      <c r="U10" s="455">
        <f t="shared" si="6"/>
        <v>395221.32706066483</v>
      </c>
      <c r="V10" s="449">
        <f t="shared" si="12"/>
        <v>1</v>
      </c>
      <c r="W10" s="449">
        <f t="shared" si="13"/>
        <v>0.81215587718034998</v>
      </c>
      <c r="X10" s="449">
        <f t="shared" si="14"/>
        <v>0.78699312696191892</v>
      </c>
      <c r="Y10" s="449">
        <f t="shared" si="15"/>
        <v>0.76183037674348797</v>
      </c>
      <c r="Z10" s="449">
        <f t="shared" si="16"/>
        <v>0.75931005266563489</v>
      </c>
      <c r="AA10" s="449">
        <f t="shared" si="17"/>
        <v>0.7567897285877816</v>
      </c>
      <c r="AB10" s="449">
        <f t="shared" si="18"/>
        <v>0.75387449776664728</v>
      </c>
      <c r="AC10" s="449">
        <f t="shared" si="19"/>
        <v>0.75095926694551307</v>
      </c>
      <c r="AD10" s="654">
        <f t="shared" si="20"/>
        <v>0.792025677005606</v>
      </c>
      <c r="AF10" s="655">
        <f t="shared" si="21"/>
        <v>1.2625853290270561</v>
      </c>
      <c r="AG10" s="655">
        <f t="shared" si="22"/>
        <v>1.0254160954110096</v>
      </c>
      <c r="AH10" s="655">
        <f t="shared" si="8"/>
        <v>0.99364597614724626</v>
      </c>
      <c r="AI10" s="655">
        <f t="shared" si="8"/>
        <v>0.96187585688348298</v>
      </c>
      <c r="AJ10" s="655">
        <f t="shared" si="8"/>
        <v>0.95869373267839197</v>
      </c>
      <c r="AK10" s="655">
        <f t="shared" si="8"/>
        <v>0.95551160847330074</v>
      </c>
      <c r="AL10" s="655">
        <f t="shared" si="8"/>
        <v>0.95183088080780909</v>
      </c>
      <c r="AM10" s="655">
        <f t="shared" si="8"/>
        <v>0.94815015314231754</v>
      </c>
      <c r="AO10" s="450" t="s">
        <v>1141</v>
      </c>
      <c r="AP10" s="451">
        <v>1.6844344849453972</v>
      </c>
      <c r="AQ10" s="451">
        <v>1.2673506147472593</v>
      </c>
      <c r="AR10" s="451">
        <v>1.1322926068149861</v>
      </c>
      <c r="AS10" s="451">
        <v>1.0607504057135009</v>
      </c>
      <c r="AT10" s="451">
        <v>1.0016049035183423</v>
      </c>
      <c r="AV10" s="399">
        <v>1</v>
      </c>
      <c r="AW10" s="399">
        <v>1</v>
      </c>
      <c r="AX10" s="399">
        <v>1</v>
      </c>
      <c r="AY10" s="399">
        <v>1</v>
      </c>
      <c r="AZ10" s="399">
        <v>1</v>
      </c>
      <c r="BB10" s="452">
        <f t="shared" si="9"/>
        <v>1.6844344849453972</v>
      </c>
      <c r="BC10" s="452">
        <f t="shared" si="9"/>
        <v>1.2673506147472593</v>
      </c>
      <c r="BD10" s="452">
        <f t="shared" si="9"/>
        <v>1.1322926068149861</v>
      </c>
      <c r="BE10" s="452">
        <f t="shared" si="9"/>
        <v>1.0607504057135009</v>
      </c>
      <c r="BF10" s="452">
        <f t="shared" si="9"/>
        <v>1.0016049035183423</v>
      </c>
    </row>
    <row r="11" spans="4:65" ht="15" x14ac:dyDescent="0.2">
      <c r="D11" s="399" t="str">
        <f t="shared" si="10"/>
        <v>Passenger Car</v>
      </c>
      <c r="E11" s="442" t="s">
        <v>1142</v>
      </c>
      <c r="F11" s="443">
        <v>23452.467720770474</v>
      </c>
      <c r="G11" s="443">
        <v>19382.471684119144</v>
      </c>
      <c r="H11" s="444">
        <f t="shared" si="3"/>
        <v>18793.577383354896</v>
      </c>
      <c r="I11" s="443">
        <v>18204.683082590647</v>
      </c>
      <c r="J11" s="444">
        <f t="shared" si="4"/>
        <v>18154.513187167337</v>
      </c>
      <c r="K11" s="443">
        <v>18104.343291744026</v>
      </c>
      <c r="L11" s="444">
        <f t="shared" si="5"/>
        <v>18039.200862842445</v>
      </c>
      <c r="M11" s="445">
        <v>17974.05843394086</v>
      </c>
      <c r="N11" s="453">
        <f t="shared" si="11"/>
        <v>532546.49922046636</v>
      </c>
      <c r="O11" s="454">
        <f t="shared" si="6"/>
        <v>440127.13563936885</v>
      </c>
      <c r="P11" s="454">
        <f t="shared" si="6"/>
        <v>426754.8286388081</v>
      </c>
      <c r="Q11" s="454">
        <f t="shared" si="6"/>
        <v>413382.52163824736</v>
      </c>
      <c r="R11" s="454">
        <f t="shared" si="6"/>
        <v>412243.28961831459</v>
      </c>
      <c r="S11" s="454">
        <f t="shared" si="6"/>
        <v>411104.05759838183</v>
      </c>
      <c r="T11" s="454">
        <f t="shared" si="6"/>
        <v>409624.83703723247</v>
      </c>
      <c r="U11" s="455">
        <f t="shared" si="6"/>
        <v>408145.616476083</v>
      </c>
      <c r="V11" s="449">
        <f t="shared" si="12"/>
        <v>1</v>
      </c>
      <c r="W11" s="449">
        <f t="shared" si="13"/>
        <v>0.82645766385399289</v>
      </c>
      <c r="X11" s="449">
        <f t="shared" si="14"/>
        <v>0.80134754291594346</v>
      </c>
      <c r="Y11" s="449">
        <f t="shared" si="15"/>
        <v>0.77623742197789392</v>
      </c>
      <c r="Z11" s="449">
        <f t="shared" si="16"/>
        <v>0.77409820592521061</v>
      </c>
      <c r="AA11" s="449">
        <f t="shared" si="17"/>
        <v>0.7719589898725272</v>
      </c>
      <c r="AB11" s="449">
        <f t="shared" si="18"/>
        <v>0.76918135343455496</v>
      </c>
      <c r="AC11" s="449">
        <f t="shared" si="19"/>
        <v>0.7664037169965825</v>
      </c>
      <c r="AD11" s="654">
        <f t="shared" si="20"/>
        <v>0.80636956710355179</v>
      </c>
      <c r="AF11" s="655">
        <f t="shared" si="21"/>
        <v>1.2401261664573493</v>
      </c>
      <c r="AG11" s="655">
        <f t="shared" si="22"/>
        <v>1.0249117744145488</v>
      </c>
      <c r="AH11" s="655">
        <f t="shared" si="8"/>
        <v>0.99377205639636523</v>
      </c>
      <c r="AI11" s="655">
        <f t="shared" si="8"/>
        <v>0.96263233837818141</v>
      </c>
      <c r="AJ11" s="655">
        <f t="shared" si="8"/>
        <v>0.95997944057554319</v>
      </c>
      <c r="AK11" s="655">
        <f t="shared" si="8"/>
        <v>0.95732654277290496</v>
      </c>
      <c r="AL11" s="655">
        <f t="shared" si="8"/>
        <v>0.95388192314527021</v>
      </c>
      <c r="AM11" s="655">
        <f t="shared" si="8"/>
        <v>0.95043730351763511</v>
      </c>
      <c r="AO11" s="450" t="s">
        <v>1142</v>
      </c>
      <c r="AP11" s="451">
        <v>1.4414185748830934</v>
      </c>
      <c r="AQ11" s="451">
        <v>1.1518364154031082</v>
      </c>
      <c r="AR11" s="451">
        <v>1.0479227946099969</v>
      </c>
      <c r="AS11" s="451">
        <v>0.98974342351285993</v>
      </c>
      <c r="AT11" s="451">
        <v>0.93761813544156292</v>
      </c>
      <c r="AV11" s="399">
        <v>1</v>
      </c>
      <c r="AW11" s="399">
        <v>1</v>
      </c>
      <c r="AX11" s="399">
        <v>1</v>
      </c>
      <c r="AY11" s="399">
        <v>1</v>
      </c>
      <c r="AZ11" s="399">
        <v>1</v>
      </c>
      <c r="BB11" s="452">
        <f t="shared" si="9"/>
        <v>1.4414185748830934</v>
      </c>
      <c r="BC11" s="452">
        <f t="shared" si="9"/>
        <v>1.1518364154031082</v>
      </c>
      <c r="BD11" s="452">
        <f t="shared" si="9"/>
        <v>1.0479227946099969</v>
      </c>
      <c r="BE11" s="452">
        <f t="shared" si="9"/>
        <v>0.98974342351285993</v>
      </c>
      <c r="BF11" s="452">
        <f t="shared" si="9"/>
        <v>0.93761813544156292</v>
      </c>
    </row>
    <row r="12" spans="4:65" ht="15" x14ac:dyDescent="0.2">
      <c r="D12" s="399" t="str">
        <f t="shared" si="10"/>
        <v>Passenger Car</v>
      </c>
      <c r="E12" s="442" t="s">
        <v>1143</v>
      </c>
      <c r="F12" s="443">
        <v>31135.574319875104</v>
      </c>
      <c r="G12" s="443">
        <v>21491.889649646371</v>
      </c>
      <c r="H12" s="444">
        <f t="shared" si="3"/>
        <v>20246.248469511957</v>
      </c>
      <c r="I12" s="443">
        <v>19000.607289377545</v>
      </c>
      <c r="J12" s="444">
        <f t="shared" si="4"/>
        <v>18857.85531344945</v>
      </c>
      <c r="K12" s="443">
        <v>18715.103337521359</v>
      </c>
      <c r="L12" s="444">
        <f t="shared" si="5"/>
        <v>18570.757666643898</v>
      </c>
      <c r="M12" s="445">
        <v>18426.411995766433</v>
      </c>
      <c r="N12" s="453">
        <f t="shared" si="11"/>
        <v>707010.50749483367</v>
      </c>
      <c r="O12" s="454">
        <f t="shared" si="6"/>
        <v>488026.70707505994</v>
      </c>
      <c r="P12" s="454">
        <f t="shared" si="6"/>
        <v>459741.33183593611</v>
      </c>
      <c r="Q12" s="454">
        <f t="shared" si="6"/>
        <v>431455.95659681229</v>
      </c>
      <c r="R12" s="454">
        <f t="shared" si="6"/>
        <v>428214.41860846733</v>
      </c>
      <c r="S12" s="454">
        <f t="shared" si="6"/>
        <v>424972.88062012248</v>
      </c>
      <c r="T12" s="454">
        <f t="shared" si="6"/>
        <v>421695.15383168129</v>
      </c>
      <c r="U12" s="455">
        <f t="shared" si="6"/>
        <v>418417.42704323999</v>
      </c>
      <c r="V12" s="449">
        <f t="shared" si="12"/>
        <v>1</v>
      </c>
      <c r="W12" s="449">
        <f t="shared" si="13"/>
        <v>0.69026796900698961</v>
      </c>
      <c r="X12" s="449">
        <f t="shared" si="14"/>
        <v>0.65026096071039718</v>
      </c>
      <c r="Y12" s="449">
        <f t="shared" si="15"/>
        <v>0.61025395241380487</v>
      </c>
      <c r="Z12" s="449">
        <f t="shared" si="16"/>
        <v>0.60566910119309136</v>
      </c>
      <c r="AA12" s="449">
        <f t="shared" si="17"/>
        <v>0.60108424997237797</v>
      </c>
      <c r="AB12" s="449">
        <f t="shared" si="18"/>
        <v>0.5964482130907548</v>
      </c>
      <c r="AC12" s="449">
        <f t="shared" si="19"/>
        <v>0.5918121762091314</v>
      </c>
      <c r="AD12" s="654">
        <f t="shared" si="20"/>
        <v>0.65826236236971525</v>
      </c>
      <c r="AF12" s="655">
        <f t="shared" si="21"/>
        <v>1.5191511123316308</v>
      </c>
      <c r="AG12" s="655">
        <f t="shared" si="22"/>
        <v>1.0486213529238639</v>
      </c>
      <c r="AH12" s="655">
        <f t="shared" si="8"/>
        <v>0.98784466176903485</v>
      </c>
      <c r="AI12" s="655">
        <f t="shared" si="8"/>
        <v>0.92706797061420576</v>
      </c>
      <c r="AJ12" s="655">
        <f t="shared" si="8"/>
        <v>0.92010288878238389</v>
      </c>
      <c r="AK12" s="655">
        <f t="shared" si="8"/>
        <v>0.91313780695056201</v>
      </c>
      <c r="AL12" s="655">
        <f t="shared" si="8"/>
        <v>0.90609496636503373</v>
      </c>
      <c r="AM12" s="655">
        <f t="shared" si="8"/>
        <v>0.89905212577950511</v>
      </c>
      <c r="AO12" s="450" t="s">
        <v>1143</v>
      </c>
      <c r="AP12" s="451">
        <v>1.2434190944946621</v>
      </c>
      <c r="AQ12" s="451">
        <v>1.055894846672224</v>
      </c>
      <c r="AR12" s="451">
        <v>0.94796987980160197</v>
      </c>
      <c r="AS12" s="451">
        <v>0.89041135121688042</v>
      </c>
      <c r="AT12" s="451">
        <v>0.8407508847914158</v>
      </c>
      <c r="AV12" s="399">
        <v>1</v>
      </c>
      <c r="AW12" s="399">
        <v>1</v>
      </c>
      <c r="AX12" s="399">
        <v>1</v>
      </c>
      <c r="AY12" s="399">
        <v>1</v>
      </c>
      <c r="AZ12" s="399">
        <v>1</v>
      </c>
      <c r="BB12" s="452">
        <f t="shared" si="9"/>
        <v>1.2434190944946621</v>
      </c>
      <c r="BC12" s="452">
        <f t="shared" si="9"/>
        <v>1.055894846672224</v>
      </c>
      <c r="BD12" s="452">
        <f t="shared" si="9"/>
        <v>0.94796987980160197</v>
      </c>
      <c r="BE12" s="452">
        <f t="shared" si="9"/>
        <v>0.89041135121688042</v>
      </c>
      <c r="BF12" s="452">
        <f t="shared" si="9"/>
        <v>0.8407508847914158</v>
      </c>
    </row>
    <row r="13" spans="4:65" ht="15" x14ac:dyDescent="0.2">
      <c r="D13" s="399" t="str">
        <f t="shared" si="10"/>
        <v>Passenger Car</v>
      </c>
      <c r="E13" s="442" t="s">
        <v>1144</v>
      </c>
      <c r="F13" s="443">
        <v>31141.577543455245</v>
      </c>
      <c r="G13" s="443">
        <v>21830.633745403298</v>
      </c>
      <c r="H13" s="444">
        <f t="shared" si="3"/>
        <v>20589.223468523433</v>
      </c>
      <c r="I13" s="443">
        <v>19347.813191643567</v>
      </c>
      <c r="J13" s="444">
        <f t="shared" si="4"/>
        <v>19213.304573275804</v>
      </c>
      <c r="K13" s="443">
        <v>19078.795954908041</v>
      </c>
      <c r="L13" s="444">
        <f t="shared" si="5"/>
        <v>18936.873814981929</v>
      </c>
      <c r="M13" s="445">
        <v>18794.951675055818</v>
      </c>
      <c r="N13" s="453">
        <f t="shared" si="11"/>
        <v>707146.82558893401</v>
      </c>
      <c r="O13" s="454">
        <f t="shared" si="6"/>
        <v>495718.73268510634</v>
      </c>
      <c r="P13" s="454">
        <f t="shared" si="6"/>
        <v>467529.43060739042</v>
      </c>
      <c r="Q13" s="454">
        <f t="shared" si="6"/>
        <v>439340.12852967443</v>
      </c>
      <c r="R13" s="454">
        <f t="shared" si="6"/>
        <v>436285.77643847442</v>
      </c>
      <c r="S13" s="454">
        <f t="shared" si="6"/>
        <v>433231.42434727459</v>
      </c>
      <c r="T13" s="454">
        <f t="shared" si="6"/>
        <v>430008.72984538251</v>
      </c>
      <c r="U13" s="455">
        <f t="shared" si="6"/>
        <v>426786.03534349042</v>
      </c>
      <c r="V13" s="449">
        <f t="shared" si="12"/>
        <v>1</v>
      </c>
      <c r="W13" s="449">
        <f t="shared" si="13"/>
        <v>0.70101245561309888</v>
      </c>
      <c r="X13" s="449">
        <f t="shared" si="14"/>
        <v>0.66114901982062535</v>
      </c>
      <c r="Y13" s="449">
        <f t="shared" si="15"/>
        <v>0.62128558402815171</v>
      </c>
      <c r="Z13" s="449">
        <f t="shared" si="16"/>
        <v>0.61696632248207017</v>
      </c>
      <c r="AA13" s="449">
        <f t="shared" si="17"/>
        <v>0.61264706093598864</v>
      </c>
      <c r="AB13" s="449">
        <f t="shared" si="18"/>
        <v>0.60808974075116262</v>
      </c>
      <c r="AC13" s="449">
        <f t="shared" si="19"/>
        <v>0.60353242056633671</v>
      </c>
      <c r="AD13" s="654">
        <f t="shared" si="20"/>
        <v>0.66912170697911932</v>
      </c>
      <c r="AF13" s="655">
        <f t="shared" si="21"/>
        <v>1.4944964265390452</v>
      </c>
      <c r="AG13" s="655">
        <f t="shared" si="22"/>
        <v>1.0476606098731374</v>
      </c>
      <c r="AH13" s="655">
        <f t="shared" si="8"/>
        <v>0.98808484753171699</v>
      </c>
      <c r="AI13" s="655">
        <f t="shared" si="8"/>
        <v>0.92850908519029651</v>
      </c>
      <c r="AJ13" s="655">
        <f t="shared" si="8"/>
        <v>0.92205396424439012</v>
      </c>
      <c r="AK13" s="655">
        <f t="shared" si="8"/>
        <v>0.91559884329848373</v>
      </c>
      <c r="AL13" s="655">
        <f t="shared" si="8"/>
        <v>0.90878794456766698</v>
      </c>
      <c r="AM13" s="655">
        <f t="shared" si="8"/>
        <v>0.90197704583685046</v>
      </c>
      <c r="AO13" s="450" t="s">
        <v>1144</v>
      </c>
      <c r="AP13" s="451">
        <v>1.108618622175594</v>
      </c>
      <c r="AQ13" s="451">
        <v>0.97907828585860557</v>
      </c>
      <c r="AR13" s="451">
        <v>0.89250158441628213</v>
      </c>
      <c r="AS13" s="451">
        <v>0.84434006239661141</v>
      </c>
      <c r="AT13" s="451">
        <v>0.79982197855278259</v>
      </c>
      <c r="AV13" s="399">
        <v>1</v>
      </c>
      <c r="AW13" s="399">
        <v>1</v>
      </c>
      <c r="AX13" s="399">
        <v>1</v>
      </c>
      <c r="AY13" s="399">
        <v>1</v>
      </c>
      <c r="AZ13" s="399">
        <v>1</v>
      </c>
      <c r="BB13" s="452">
        <f t="shared" si="9"/>
        <v>1.108618622175594</v>
      </c>
      <c r="BC13" s="452">
        <f t="shared" si="9"/>
        <v>0.97907828585860557</v>
      </c>
      <c r="BD13" s="452">
        <f t="shared" si="9"/>
        <v>0.89250158441628213</v>
      </c>
      <c r="BE13" s="452">
        <f t="shared" si="9"/>
        <v>0.84434006239661141</v>
      </c>
      <c r="BF13" s="452">
        <f t="shared" si="9"/>
        <v>0.79982197855278259</v>
      </c>
    </row>
    <row r="14" spans="4:65" ht="15" x14ac:dyDescent="0.2">
      <c r="D14" s="399" t="str">
        <f t="shared" si="10"/>
        <v>Passenger Car</v>
      </c>
      <c r="E14" s="442" t="s">
        <v>1117</v>
      </c>
      <c r="F14" s="443">
        <v>36238.596721333321</v>
      </c>
      <c r="G14" s="443">
        <v>24603.016767630226</v>
      </c>
      <c r="H14" s="444">
        <f t="shared" si="3"/>
        <v>22488.275595526189</v>
      </c>
      <c r="I14" s="443">
        <v>20373.534423422148</v>
      </c>
      <c r="J14" s="444">
        <f t="shared" si="4"/>
        <v>20510.719449844073</v>
      </c>
      <c r="K14" s="443">
        <v>20647.904476265994</v>
      </c>
      <c r="L14" s="444">
        <f t="shared" si="5"/>
        <v>20718.076570145662</v>
      </c>
      <c r="M14" s="445">
        <v>20788.248664025326</v>
      </c>
      <c r="N14" s="453">
        <f t="shared" si="11"/>
        <v>822887.29912701563</v>
      </c>
      <c r="O14" s="454">
        <f t="shared" si="6"/>
        <v>558672.57151195302</v>
      </c>
      <c r="P14" s="454">
        <f t="shared" si="6"/>
        <v>510652.12345633184</v>
      </c>
      <c r="Q14" s="454">
        <f t="shared" si="6"/>
        <v>462631.67540071055</v>
      </c>
      <c r="R14" s="454">
        <f t="shared" si="6"/>
        <v>465746.80198083411</v>
      </c>
      <c r="S14" s="454">
        <f t="shared" si="6"/>
        <v>468861.92856095772</v>
      </c>
      <c r="T14" s="454">
        <f t="shared" si="6"/>
        <v>470455.36015133531</v>
      </c>
      <c r="U14" s="455">
        <f t="shared" si="6"/>
        <v>472048.79174171283</v>
      </c>
      <c r="V14" s="449">
        <f t="shared" si="12"/>
        <v>1</v>
      </c>
      <c r="W14" s="449">
        <f t="shared" si="13"/>
        <v>0.67891748007854458</v>
      </c>
      <c r="X14" s="449">
        <f t="shared" si="14"/>
        <v>0.62056143532422026</v>
      </c>
      <c r="Y14" s="449">
        <f t="shared" si="15"/>
        <v>0.56220539056989594</v>
      </c>
      <c r="Z14" s="449">
        <f t="shared" si="16"/>
        <v>0.56599099594189328</v>
      </c>
      <c r="AA14" s="449">
        <f t="shared" si="17"/>
        <v>0.56977660131389052</v>
      </c>
      <c r="AB14" s="449">
        <f t="shared" si="18"/>
        <v>0.57171299235075312</v>
      </c>
      <c r="AC14" s="449">
        <f t="shared" si="19"/>
        <v>0.57364938338761562</v>
      </c>
      <c r="AD14" s="654">
        <f t="shared" si="20"/>
        <v>0.63223264427508497</v>
      </c>
      <c r="AF14" s="655">
        <f t="shared" si="21"/>
        <v>1.5816962459232002</v>
      </c>
      <c r="AG14" s="655">
        <f t="shared" si="22"/>
        <v>1.0738412295318731</v>
      </c>
      <c r="AH14" s="655">
        <f t="shared" si="8"/>
        <v>0.981539692617032</v>
      </c>
      <c r="AI14" s="655">
        <f t="shared" si="8"/>
        <v>0.889238155702191</v>
      </c>
      <c r="AJ14" s="655">
        <f t="shared" si="8"/>
        <v>0.89522583350762586</v>
      </c>
      <c r="AK14" s="655">
        <f t="shared" si="8"/>
        <v>0.9012135113130606</v>
      </c>
      <c r="AL14" s="655">
        <f t="shared" si="8"/>
        <v>0.9042762937467056</v>
      </c>
      <c r="AM14" s="655">
        <f t="shared" si="8"/>
        <v>0.90733907618035026</v>
      </c>
      <c r="AO14" s="450" t="s">
        <v>1117</v>
      </c>
      <c r="AP14" s="451">
        <v>0.693962607442839</v>
      </c>
      <c r="AQ14" s="451">
        <v>0.62851040218398957</v>
      </c>
      <c r="AR14" s="451">
        <v>0.57642485729714654</v>
      </c>
      <c r="AS14" s="451">
        <v>0.54803234670758638</v>
      </c>
      <c r="AT14" s="451">
        <v>0.51817442685442938</v>
      </c>
      <c r="AV14" s="456">
        <v>0.85</v>
      </c>
      <c r="AW14" s="456">
        <f>IF(AV14&lt;AV14,1.05*AV14, AV14)</f>
        <v>0.85</v>
      </c>
      <c r="AX14" s="456">
        <f>IF(AW14&lt;AW14,1.05*AW14, AW14)</f>
        <v>0.85</v>
      </c>
      <c r="AY14" s="456">
        <f>IF(AX14&lt;AX14,1.05*AX14, AX14)</f>
        <v>0.85</v>
      </c>
      <c r="AZ14" s="456">
        <f>IF(AY14&lt;AY14,1.05*AY14, AY14)</f>
        <v>0.85</v>
      </c>
      <c r="BA14" s="456"/>
      <c r="BB14" s="452">
        <f t="shared" si="9"/>
        <v>0.81642659699157527</v>
      </c>
      <c r="BC14" s="452">
        <f t="shared" si="9"/>
        <v>0.73942400256939955</v>
      </c>
      <c r="BD14" s="452">
        <f t="shared" si="9"/>
        <v>0.67814689093781944</v>
      </c>
      <c r="BE14" s="452">
        <f t="shared" si="9"/>
        <v>0.6447439373030428</v>
      </c>
      <c r="BF14" s="452">
        <f t="shared" si="9"/>
        <v>0.60961697276991689</v>
      </c>
      <c r="BM14" s="399">
        <f>BG14/3.6</f>
        <v>0</v>
      </c>
    </row>
    <row r="15" spans="4:65" ht="15" x14ac:dyDescent="0.2">
      <c r="D15" s="399" t="str">
        <f t="shared" si="10"/>
        <v>Passenger Car</v>
      </c>
      <c r="E15" s="442" t="s">
        <v>1116</v>
      </c>
      <c r="F15" s="443">
        <v>109423.28315660442</v>
      </c>
      <c r="G15" s="443">
        <v>43260.223985533885</v>
      </c>
      <c r="H15" s="444">
        <f t="shared" si="3"/>
        <v>33001.908734154415</v>
      </c>
      <c r="I15" s="443">
        <v>22743.593482774941</v>
      </c>
      <c r="J15" s="444">
        <f t="shared" si="4"/>
        <v>21527.047547408263</v>
      </c>
      <c r="K15" s="443">
        <v>20310.501612041586</v>
      </c>
      <c r="L15" s="444">
        <f t="shared" si="5"/>
        <v>20002.874670378667</v>
      </c>
      <c r="M15" s="445">
        <v>19695.247728715745</v>
      </c>
      <c r="N15" s="453">
        <f t="shared" si="11"/>
        <v>2484727.2820953736</v>
      </c>
      <c r="O15" s="454">
        <f t="shared" si="6"/>
        <v>982330.77701183001</v>
      </c>
      <c r="P15" s="454">
        <f t="shared" si="6"/>
        <v>749390.26345624495</v>
      </c>
      <c r="Q15" s="454">
        <f t="shared" si="6"/>
        <v>516449.74990065984</v>
      </c>
      <c r="R15" s="454">
        <f t="shared" si="6"/>
        <v>488825.05442152976</v>
      </c>
      <c r="S15" s="454">
        <f t="shared" si="6"/>
        <v>461200.35894239973</v>
      </c>
      <c r="T15" s="454">
        <f t="shared" si="6"/>
        <v>454214.92556289246</v>
      </c>
      <c r="U15" s="455">
        <f t="shared" si="6"/>
        <v>447229.49218338524</v>
      </c>
      <c r="V15" s="449">
        <f t="shared" si="12"/>
        <v>1</v>
      </c>
      <c r="W15" s="449">
        <f t="shared" si="13"/>
        <v>0.39534752328369382</v>
      </c>
      <c r="X15" s="449">
        <f t="shared" si="14"/>
        <v>0.30159859750253282</v>
      </c>
      <c r="Y15" s="449">
        <f t="shared" si="15"/>
        <v>0.20784967172137181</v>
      </c>
      <c r="Z15" s="449">
        <f t="shared" si="16"/>
        <v>0.19673187393398883</v>
      </c>
      <c r="AA15" s="449">
        <f t="shared" si="17"/>
        <v>0.18561407614660586</v>
      </c>
      <c r="AB15" s="449">
        <f t="shared" si="18"/>
        <v>0.18280272802408015</v>
      </c>
      <c r="AC15" s="449">
        <f t="shared" si="19"/>
        <v>0.17999137990155439</v>
      </c>
      <c r="AD15" s="654">
        <f t="shared" si="20"/>
        <v>0.32034838265876431</v>
      </c>
      <c r="AF15" s="655">
        <f t="shared" si="21"/>
        <v>3.1216015255029457</v>
      </c>
      <c r="AG15" s="655">
        <f t="shared" si="22"/>
        <v>1.2341174317861898</v>
      </c>
      <c r="AH15" s="655">
        <f t="shared" si="8"/>
        <v>0.94147064205345532</v>
      </c>
      <c r="AI15" s="655">
        <f t="shared" si="8"/>
        <v>0.64882385232072071</v>
      </c>
      <c r="AJ15" s="655">
        <f t="shared" si="8"/>
        <v>0.61411851778739268</v>
      </c>
      <c r="AK15" s="655">
        <f t="shared" si="8"/>
        <v>0.57941318325406477</v>
      </c>
      <c r="AL15" s="655">
        <f t="shared" si="8"/>
        <v>0.57063727466606862</v>
      </c>
      <c r="AM15" s="655">
        <f t="shared" si="8"/>
        <v>0.56186136607807236</v>
      </c>
      <c r="AO15" s="450" t="s">
        <v>1116</v>
      </c>
      <c r="AP15" s="451">
        <v>1.0752270792303171</v>
      </c>
      <c r="AQ15" s="451">
        <v>0.94154852321991489</v>
      </c>
      <c r="AR15" s="451">
        <v>0.83643614753341577</v>
      </c>
      <c r="AS15" s="451">
        <v>0.77157920697300109</v>
      </c>
      <c r="AT15" s="451">
        <v>0.70892116582680575</v>
      </c>
      <c r="AV15" s="399">
        <v>1</v>
      </c>
      <c r="AW15" s="399">
        <v>1</v>
      </c>
      <c r="AX15" s="399">
        <v>1</v>
      </c>
      <c r="AY15" s="399">
        <v>1</v>
      </c>
      <c r="AZ15" s="399">
        <v>1</v>
      </c>
      <c r="BB15" s="452">
        <f t="shared" si="9"/>
        <v>1.0752270792303171</v>
      </c>
      <c r="BC15" s="452">
        <f t="shared" si="9"/>
        <v>0.94154852321991489</v>
      </c>
      <c r="BD15" s="452">
        <f t="shared" si="9"/>
        <v>0.83643614753341577</v>
      </c>
      <c r="BE15" s="452">
        <f t="shared" si="9"/>
        <v>0.77157920697300109</v>
      </c>
      <c r="BF15" s="452">
        <f t="shared" si="9"/>
        <v>0.70892116582680575</v>
      </c>
    </row>
    <row r="16" spans="4:65" ht="15" x14ac:dyDescent="0.2">
      <c r="D16" s="399" t="str">
        <f t="shared" si="10"/>
        <v>Passenger Car</v>
      </c>
      <c r="E16" s="442" t="s">
        <v>1145</v>
      </c>
      <c r="F16" s="443">
        <v>115917.70270848065</v>
      </c>
      <c r="G16" s="443">
        <v>45841.573831101516</v>
      </c>
      <c r="H16" s="444">
        <f t="shared" si="3"/>
        <v>35130.349165506661</v>
      </c>
      <c r="I16" s="443">
        <v>24419.124499911803</v>
      </c>
      <c r="J16" s="444">
        <f t="shared" si="4"/>
        <v>23128.463470221446</v>
      </c>
      <c r="K16" s="443">
        <v>21837.802440531086</v>
      </c>
      <c r="L16" s="444">
        <f t="shared" si="5"/>
        <v>21462.302197246976</v>
      </c>
      <c r="M16" s="445">
        <v>21086.801953962866</v>
      </c>
      <c r="N16" s="453">
        <f t="shared" si="11"/>
        <v>2632199.2001041374</v>
      </c>
      <c r="O16" s="454">
        <f t="shared" si="6"/>
        <v>1040946.7333319767</v>
      </c>
      <c r="P16" s="454">
        <f t="shared" si="6"/>
        <v>797721.78720084729</v>
      </c>
      <c r="Q16" s="454">
        <f t="shared" si="6"/>
        <v>554496.84106971778</v>
      </c>
      <c r="R16" s="454">
        <f t="shared" si="6"/>
        <v>525189.17838682036</v>
      </c>
      <c r="S16" s="454">
        <f t="shared" si="6"/>
        <v>495881.51570392284</v>
      </c>
      <c r="T16" s="454">
        <f t="shared" si="6"/>
        <v>487354.85051890759</v>
      </c>
      <c r="U16" s="455">
        <f t="shared" si="6"/>
        <v>478828.18533389247</v>
      </c>
      <c r="V16" s="449">
        <f t="shared" si="12"/>
        <v>1</v>
      </c>
      <c r="W16" s="449">
        <f t="shared" si="13"/>
        <v>0.39546654876682352</v>
      </c>
      <c r="X16" s="449">
        <f t="shared" si="14"/>
        <v>0.30306284842320719</v>
      </c>
      <c r="Y16" s="449">
        <f t="shared" si="15"/>
        <v>0.21065914807959074</v>
      </c>
      <c r="Z16" s="449">
        <f t="shared" si="16"/>
        <v>0.19952486056755978</v>
      </c>
      <c r="AA16" s="449">
        <f t="shared" si="17"/>
        <v>0.18839057305552875</v>
      </c>
      <c r="AB16" s="449">
        <f t="shared" si="18"/>
        <v>0.18515120379172917</v>
      </c>
      <c r="AC16" s="449">
        <f t="shared" si="19"/>
        <v>0.18191183452792958</v>
      </c>
      <c r="AD16" s="654">
        <f t="shared" si="20"/>
        <v>0.32154358849193443</v>
      </c>
      <c r="AF16" s="655">
        <f t="shared" si="21"/>
        <v>3.1099982577481371</v>
      </c>
      <c r="AG16" s="655">
        <f t="shared" si="22"/>
        <v>1.2299002776624899</v>
      </c>
      <c r="AH16" s="655">
        <f t="shared" si="8"/>
        <v>0.94252493058436204</v>
      </c>
      <c r="AI16" s="655">
        <f t="shared" si="8"/>
        <v>0.65514958350623398</v>
      </c>
      <c r="AJ16" s="655">
        <f t="shared" si="8"/>
        <v>0.62052196874255083</v>
      </c>
      <c r="AK16" s="655">
        <f t="shared" si="8"/>
        <v>0.58589435397886758</v>
      </c>
      <c r="AL16" s="655">
        <f t="shared" si="8"/>
        <v>0.57581992121224801</v>
      </c>
      <c r="AM16" s="655">
        <f t="shared" si="8"/>
        <v>0.56574548844562844</v>
      </c>
      <c r="AO16" s="450" t="s">
        <v>1145</v>
      </c>
      <c r="AP16" s="451">
        <v>0.95703509297619893</v>
      </c>
      <c r="AQ16" s="451">
        <v>0.80694213117446689</v>
      </c>
      <c r="AR16" s="451">
        <v>0.72463129273182003</v>
      </c>
      <c r="AS16" s="451">
        <v>0.67545405705887274</v>
      </c>
      <c r="AT16" s="451">
        <v>0.62690006806868404</v>
      </c>
      <c r="AV16" s="399">
        <v>1</v>
      </c>
      <c r="AW16" s="399">
        <v>1</v>
      </c>
      <c r="AX16" s="399">
        <v>1</v>
      </c>
      <c r="AY16" s="399">
        <v>1</v>
      </c>
      <c r="AZ16" s="399">
        <v>1</v>
      </c>
      <c r="BB16" s="452">
        <f t="shared" si="9"/>
        <v>0.95703509297619893</v>
      </c>
      <c r="BC16" s="452">
        <f t="shared" si="9"/>
        <v>0.80694213117446689</v>
      </c>
      <c r="BD16" s="452">
        <f t="shared" si="9"/>
        <v>0.72463129273182003</v>
      </c>
      <c r="BE16" s="452">
        <f t="shared" si="9"/>
        <v>0.67545405705887274</v>
      </c>
      <c r="BF16" s="452">
        <f t="shared" si="9"/>
        <v>0.62690006806868404</v>
      </c>
    </row>
    <row r="17" spans="4:58" ht="15" x14ac:dyDescent="0.2">
      <c r="D17" s="399" t="str">
        <f t="shared" si="10"/>
        <v>Passenger Car</v>
      </c>
      <c r="E17" s="442" t="s">
        <v>1146</v>
      </c>
      <c r="F17" s="443">
        <v>79866.089220154739</v>
      </c>
      <c r="G17" s="443">
        <v>35149.373433179157</v>
      </c>
      <c r="H17" s="444">
        <f t="shared" si="3"/>
        <v>28598.582562298718</v>
      </c>
      <c r="I17" s="443">
        <v>22047.791691418275</v>
      </c>
      <c r="J17" s="444">
        <f t="shared" si="4"/>
        <v>21255.791938783463</v>
      </c>
      <c r="K17" s="443">
        <v>20463.792186148654</v>
      </c>
      <c r="L17" s="444">
        <f t="shared" si="5"/>
        <v>20144.012231840017</v>
      </c>
      <c r="M17" s="445">
        <v>19824.232277531381</v>
      </c>
      <c r="N17" s="453">
        <f t="shared" si="11"/>
        <v>1813557.8194594157</v>
      </c>
      <c r="O17" s="454">
        <f t="shared" si="6"/>
        <v>798153.78042517859</v>
      </c>
      <c r="P17" s="454">
        <f t="shared" si="6"/>
        <v>649401.81167934288</v>
      </c>
      <c r="Q17" s="454">
        <f t="shared" si="6"/>
        <v>500649.84293350729</v>
      </c>
      <c r="R17" s="454">
        <f t="shared" si="6"/>
        <v>482665.52244873362</v>
      </c>
      <c r="S17" s="454">
        <f t="shared" si="6"/>
        <v>464681.20196396013</v>
      </c>
      <c r="T17" s="454">
        <f t="shared" si="6"/>
        <v>457419.80426306388</v>
      </c>
      <c r="U17" s="455">
        <f t="shared" si="6"/>
        <v>450158.40656216769</v>
      </c>
      <c r="V17" s="449">
        <f t="shared" si="12"/>
        <v>1</v>
      </c>
      <c r="W17" s="449">
        <f t="shared" si="13"/>
        <v>0.44010385103855792</v>
      </c>
      <c r="X17" s="449">
        <f t="shared" si="14"/>
        <v>0.35808166947382813</v>
      </c>
      <c r="Y17" s="449">
        <f t="shared" si="15"/>
        <v>0.27605948790909834</v>
      </c>
      <c r="Z17" s="449">
        <f t="shared" si="16"/>
        <v>0.26614289176212003</v>
      </c>
      <c r="AA17" s="449">
        <f t="shared" si="17"/>
        <v>0.25622629561514176</v>
      </c>
      <c r="AB17" s="449">
        <f t="shared" si="18"/>
        <v>0.25222234403279808</v>
      </c>
      <c r="AC17" s="449">
        <f t="shared" si="19"/>
        <v>0.24821839245045446</v>
      </c>
      <c r="AD17" s="654">
        <f t="shared" si="20"/>
        <v>0.37448610578677943</v>
      </c>
      <c r="AF17" s="655">
        <f t="shared" si="21"/>
        <v>2.6703260402653455</v>
      </c>
      <c r="AG17" s="655">
        <f t="shared" si="22"/>
        <v>1.1752207738493219</v>
      </c>
      <c r="AH17" s="655">
        <f t="shared" si="8"/>
        <v>0.95619480653765176</v>
      </c>
      <c r="AI17" s="655">
        <f t="shared" si="8"/>
        <v>0.73716883922598164</v>
      </c>
      <c r="AJ17" s="655">
        <f t="shared" si="8"/>
        <v>0.71068829430391045</v>
      </c>
      <c r="AK17" s="655">
        <f t="shared" si="8"/>
        <v>0.68420774938183937</v>
      </c>
      <c r="AL17" s="655">
        <f t="shared" si="8"/>
        <v>0.67351589320754535</v>
      </c>
      <c r="AM17" s="655">
        <f t="shared" si="8"/>
        <v>0.66282403703325155</v>
      </c>
      <c r="AO17" s="450" t="s">
        <v>1146</v>
      </c>
      <c r="AP17" s="451">
        <v>0.83884310672208084</v>
      </c>
      <c r="AQ17" s="451">
        <v>0.74746488817764112</v>
      </c>
      <c r="AR17" s="451">
        <v>0.67522914758692887</v>
      </c>
      <c r="AS17" s="451">
        <v>0.63298015360844395</v>
      </c>
      <c r="AT17" s="451">
        <v>0.59065818766393241</v>
      </c>
      <c r="AV17" s="399">
        <v>1</v>
      </c>
      <c r="AW17" s="399">
        <v>1</v>
      </c>
      <c r="AX17" s="399">
        <v>1</v>
      </c>
      <c r="AY17" s="399">
        <v>1</v>
      </c>
      <c r="AZ17" s="399">
        <v>1</v>
      </c>
      <c r="BB17" s="452">
        <f t="shared" si="9"/>
        <v>0.83884310672208084</v>
      </c>
      <c r="BC17" s="452">
        <f t="shared" si="9"/>
        <v>0.74746488817764112</v>
      </c>
      <c r="BD17" s="452">
        <f t="shared" si="9"/>
        <v>0.67522914758692887</v>
      </c>
      <c r="BE17" s="452">
        <f t="shared" si="9"/>
        <v>0.63298015360844395</v>
      </c>
      <c r="BF17" s="452">
        <f t="shared" si="9"/>
        <v>0.59065818766393241</v>
      </c>
    </row>
    <row r="18" spans="4:58" ht="15" x14ac:dyDescent="0.2">
      <c r="D18" s="399" t="str">
        <f t="shared" si="10"/>
        <v>Passenger Car</v>
      </c>
      <c r="E18" s="442" t="s">
        <v>1115</v>
      </c>
      <c r="F18" s="457">
        <v>15291.114643469842</v>
      </c>
      <c r="G18" s="457">
        <v>16099.748888614555</v>
      </c>
      <c r="H18" s="444">
        <f t="shared" si="3"/>
        <v>16262.474589540056</v>
      </c>
      <c r="I18" s="457">
        <v>16425.200290465556</v>
      </c>
      <c r="J18" s="444">
        <f t="shared" si="4"/>
        <v>16550.498816352556</v>
      </c>
      <c r="K18" s="457">
        <v>16675.797342239555</v>
      </c>
      <c r="L18" s="444">
        <f t="shared" si="5"/>
        <v>16745.240046908224</v>
      </c>
      <c r="M18" s="458">
        <v>16814.682751576893</v>
      </c>
      <c r="N18" s="453">
        <f t="shared" si="11"/>
        <v>347222.71743483498</v>
      </c>
      <c r="O18" s="454">
        <f t="shared" si="6"/>
        <v>365584.76536637149</v>
      </c>
      <c r="P18" s="454">
        <f t="shared" si="6"/>
        <v>369279.85636459186</v>
      </c>
      <c r="Q18" s="454">
        <f t="shared" si="6"/>
        <v>372974.94736281218</v>
      </c>
      <c r="R18" s="454">
        <f t="shared" si="6"/>
        <v>375820.16144062584</v>
      </c>
      <c r="S18" s="454">
        <f t="shared" si="6"/>
        <v>378665.37551843945</v>
      </c>
      <c r="T18" s="454">
        <f t="shared" si="6"/>
        <v>380242.24451610784</v>
      </c>
      <c r="U18" s="455">
        <f t="shared" si="6"/>
        <v>381819.11351377616</v>
      </c>
      <c r="V18" s="449">
        <f t="shared" si="12"/>
        <v>1</v>
      </c>
      <c r="W18" s="449">
        <f t="shared" si="13"/>
        <v>1.0528826226209771</v>
      </c>
      <c r="X18" s="449">
        <f t="shared" si="14"/>
        <v>1.0635244695183186</v>
      </c>
      <c r="Y18" s="449">
        <f t="shared" si="15"/>
        <v>1.0741663164156598</v>
      </c>
      <c r="Z18" s="449">
        <f t="shared" si="16"/>
        <v>1.0823605212730874</v>
      </c>
      <c r="AA18" s="449">
        <f t="shared" si="17"/>
        <v>1.0905547261305146</v>
      </c>
      <c r="AB18" s="449">
        <f t="shared" si="18"/>
        <v>1.0950961023668326</v>
      </c>
      <c r="AC18" s="449">
        <f t="shared" si="19"/>
        <v>1.0996374786031506</v>
      </c>
      <c r="AD18" s="654">
        <f t="shared" si="20"/>
        <v>1.0613961001388503</v>
      </c>
      <c r="AF18" s="655">
        <f t="shared" si="21"/>
        <v>0.94215533660730566</v>
      </c>
      <c r="AG18" s="655">
        <f t="shared" si="22"/>
        <v>0.99197898172344945</v>
      </c>
      <c r="AH18" s="655">
        <f t="shared" si="8"/>
        <v>1.0020052545691376</v>
      </c>
      <c r="AI18" s="655">
        <f t="shared" si="8"/>
        <v>1.0120315274148255</v>
      </c>
      <c r="AJ18" s="655">
        <f t="shared" si="8"/>
        <v>1.0197517412505044</v>
      </c>
      <c r="AK18" s="655">
        <f t="shared" si="8"/>
        <v>1.0274719550861831</v>
      </c>
      <c r="AL18" s="655">
        <f t="shared" si="8"/>
        <v>1.0317506369427716</v>
      </c>
      <c r="AM18" s="655">
        <f t="shared" si="8"/>
        <v>1.0360293187993603</v>
      </c>
      <c r="AO18" s="450" t="s">
        <v>1115</v>
      </c>
      <c r="AP18" s="459">
        <v>2.7731584934931535</v>
      </c>
      <c r="AQ18" s="459">
        <v>2.0718600724531742</v>
      </c>
      <c r="AR18" s="459">
        <v>1.6924435330873051</v>
      </c>
      <c r="AS18" s="459">
        <v>1.5062933039675674</v>
      </c>
      <c r="AT18" s="459">
        <v>1.3837225479656539</v>
      </c>
      <c r="AV18" s="399">
        <v>1</v>
      </c>
      <c r="AW18" s="399">
        <v>1</v>
      </c>
      <c r="AX18" s="399">
        <v>1</v>
      </c>
      <c r="AY18" s="399">
        <v>1</v>
      </c>
      <c r="AZ18" s="399">
        <v>1</v>
      </c>
      <c r="BB18" s="452">
        <f t="shared" si="9"/>
        <v>2.7731584934931535</v>
      </c>
      <c r="BC18" s="452">
        <f t="shared" si="9"/>
        <v>2.0718600724531742</v>
      </c>
      <c r="BD18" s="452">
        <f t="shared" si="9"/>
        <v>1.6924435330873051</v>
      </c>
      <c r="BE18" s="452">
        <f t="shared" si="9"/>
        <v>1.5062933039675674</v>
      </c>
      <c r="BF18" s="452">
        <f t="shared" si="9"/>
        <v>1.3837225479656539</v>
      </c>
    </row>
    <row r="19" spans="4:58" ht="15" x14ac:dyDescent="0.2">
      <c r="D19" s="399" t="str">
        <f t="shared" si="10"/>
        <v>Passenger Car</v>
      </c>
      <c r="E19" s="460"/>
      <c r="F19" s="461"/>
      <c r="G19" s="461"/>
      <c r="H19" s="462"/>
      <c r="I19" s="461"/>
      <c r="J19" s="461"/>
      <c r="K19" s="461"/>
      <c r="L19" s="461"/>
      <c r="M19" s="463"/>
      <c r="N19" s="464"/>
      <c r="O19" s="465"/>
      <c r="P19" s="465"/>
      <c r="Q19" s="465"/>
      <c r="R19" s="465"/>
      <c r="S19" s="465"/>
      <c r="T19" s="465"/>
      <c r="U19" s="466"/>
      <c r="V19" s="449"/>
      <c r="W19" s="449"/>
      <c r="X19" s="449"/>
      <c r="Y19" s="449"/>
      <c r="Z19" s="449"/>
      <c r="AA19" s="449"/>
      <c r="AB19" s="449"/>
      <c r="AC19" s="449"/>
      <c r="AD19" s="654"/>
      <c r="AF19" s="655"/>
      <c r="AG19" s="655"/>
      <c r="AH19" s="655"/>
      <c r="AI19" s="655"/>
      <c r="AJ19" s="655"/>
      <c r="AK19" s="655"/>
      <c r="AL19" s="655"/>
      <c r="AM19" s="655"/>
      <c r="AO19" s="467"/>
      <c r="AP19" s="468"/>
      <c r="AQ19" s="468"/>
      <c r="AR19" s="468"/>
      <c r="AS19" s="468"/>
      <c r="AT19" s="468"/>
      <c r="BB19" s="452"/>
      <c r="BC19" s="452"/>
      <c r="BD19" s="452"/>
      <c r="BE19" s="452"/>
      <c r="BF19" s="452"/>
    </row>
    <row r="20" spans="4:58" ht="15" x14ac:dyDescent="0.2">
      <c r="D20" s="399" t="str">
        <f t="shared" si="10"/>
        <v>Passenger Car</v>
      </c>
      <c r="E20" s="460"/>
      <c r="F20" s="461"/>
      <c r="G20" s="461"/>
      <c r="H20" s="462"/>
      <c r="I20" s="461"/>
      <c r="J20" s="461"/>
      <c r="K20" s="461"/>
      <c r="L20" s="461"/>
      <c r="M20" s="463"/>
      <c r="N20" s="464"/>
      <c r="O20" s="465"/>
      <c r="P20" s="465"/>
      <c r="Q20" s="465"/>
      <c r="R20" s="465"/>
      <c r="S20" s="465"/>
      <c r="T20" s="465"/>
      <c r="U20" s="466"/>
      <c r="V20" s="449"/>
      <c r="W20" s="449"/>
      <c r="X20" s="449"/>
      <c r="Y20" s="449"/>
      <c r="Z20" s="449"/>
      <c r="AA20" s="449"/>
      <c r="AB20" s="449"/>
      <c r="AC20" s="449"/>
      <c r="AD20" s="654"/>
      <c r="AE20" s="709" t="s">
        <v>1305</v>
      </c>
      <c r="AF20" s="709">
        <f>AVERAGE(AF6:AF7)</f>
        <v>0.90542508248526632</v>
      </c>
      <c r="AG20" s="709">
        <f t="shared" ref="AG20:AM20" si="23">AVERAGE(AG6:AG7)</f>
        <v>0.98713685470686163</v>
      </c>
      <c r="AH20" s="709">
        <f t="shared" si="23"/>
        <v>1.0032157863232847</v>
      </c>
      <c r="AI20" s="709">
        <f t="shared" si="23"/>
        <v>1.0192947179397081</v>
      </c>
      <c r="AJ20" s="709">
        <f t="shared" si="23"/>
        <v>1.0304867931382624</v>
      </c>
      <c r="AK20" s="709">
        <f t="shared" si="23"/>
        <v>1.0416788683368168</v>
      </c>
      <c r="AL20" s="709">
        <f t="shared" si="23"/>
        <v>1.0481302140054147</v>
      </c>
      <c r="AM20" s="709">
        <f t="shared" si="23"/>
        <v>1.0545815596740131</v>
      </c>
      <c r="AO20" s="469" t="s">
        <v>1131</v>
      </c>
      <c r="AR20" s="468"/>
      <c r="AS20" s="468"/>
      <c r="AT20" s="468"/>
      <c r="BB20" s="452"/>
      <c r="BC20" s="452"/>
      <c r="BD20" s="452"/>
      <c r="BE20" s="452"/>
      <c r="BF20" s="452"/>
    </row>
    <row r="21" spans="4:58" ht="15" x14ac:dyDescent="0.25">
      <c r="D21" s="399" t="str">
        <f>E21</f>
        <v>Motorcycle or Moped</v>
      </c>
      <c r="E21" s="470" t="s">
        <v>1119</v>
      </c>
      <c r="F21" s="427">
        <v>2010</v>
      </c>
      <c r="G21" s="427">
        <v>2020</v>
      </c>
      <c r="H21" s="471"/>
      <c r="I21" s="427">
        <v>2030</v>
      </c>
      <c r="J21" s="427"/>
      <c r="K21" s="427">
        <v>2040</v>
      </c>
      <c r="L21" s="427"/>
      <c r="M21" s="430">
        <v>2050</v>
      </c>
      <c r="N21" s="431" t="e">
        <f>#REF!</f>
        <v>#REF!</v>
      </c>
      <c r="O21" s="432" t="e">
        <f>#REF!</f>
        <v>#REF!</v>
      </c>
      <c r="P21" s="432" t="e">
        <f>#REF!</f>
        <v>#REF!</v>
      </c>
      <c r="Q21" s="432" t="e">
        <f>#REF!</f>
        <v>#REF!</v>
      </c>
      <c r="R21" s="432" t="e">
        <f>#REF!</f>
        <v>#REF!</v>
      </c>
      <c r="S21" s="432" t="e">
        <f>#REF!</f>
        <v>#REF!</v>
      </c>
      <c r="T21" s="432" t="e">
        <f>#REF!</f>
        <v>#REF!</v>
      </c>
      <c r="U21" s="433" t="e">
        <f>#REF!</f>
        <v>#REF!</v>
      </c>
      <c r="V21" s="449"/>
      <c r="W21" s="449"/>
      <c r="X21" s="449"/>
      <c r="Y21" s="449"/>
      <c r="Z21" s="449"/>
      <c r="AA21" s="449"/>
      <c r="AB21" s="449"/>
      <c r="AC21" s="449"/>
      <c r="AD21" s="654"/>
      <c r="AF21" s="655"/>
      <c r="AG21" s="655"/>
      <c r="AH21" s="655"/>
      <c r="AI21" s="655"/>
      <c r="AJ21" s="655"/>
      <c r="AK21" s="655"/>
      <c r="AL21" s="655"/>
      <c r="AM21" s="655"/>
      <c r="AO21" s="472" t="s">
        <v>1147</v>
      </c>
      <c r="AP21" s="473" t="s">
        <v>40</v>
      </c>
      <c r="AQ21" s="474" t="s">
        <v>40</v>
      </c>
      <c r="AR21" s="475" t="s">
        <v>40</v>
      </c>
      <c r="AS21" s="476" t="s">
        <v>40</v>
      </c>
      <c r="AT21" s="477" t="s">
        <v>40</v>
      </c>
      <c r="AU21" s="65"/>
      <c r="AV21" s="65"/>
      <c r="AW21" s="65"/>
    </row>
    <row r="22" spans="4:58" ht="15" x14ac:dyDescent="0.25">
      <c r="D22" s="399" t="str">
        <f t="shared" ref="D22:D28" si="24">D21</f>
        <v>Motorcycle or Moped</v>
      </c>
      <c r="E22" s="478" t="s">
        <v>1135</v>
      </c>
      <c r="F22" s="479" t="s">
        <v>878</v>
      </c>
      <c r="G22" s="480" t="s">
        <v>878</v>
      </c>
      <c r="H22" s="481"/>
      <c r="I22" s="482" t="s">
        <v>878</v>
      </c>
      <c r="J22" s="482"/>
      <c r="K22" s="483" t="s">
        <v>878</v>
      </c>
      <c r="L22" s="483"/>
      <c r="M22" s="484" t="s">
        <v>878</v>
      </c>
      <c r="N22" s="439" t="s">
        <v>1137</v>
      </c>
      <c r="O22" s="412" t="s">
        <v>1137</v>
      </c>
      <c r="P22" s="412" t="s">
        <v>1137</v>
      </c>
      <c r="Q22" s="412" t="s">
        <v>1137</v>
      </c>
      <c r="R22" s="412" t="s">
        <v>1137</v>
      </c>
      <c r="S22" s="412" t="s">
        <v>1137</v>
      </c>
      <c r="T22" s="412" t="s">
        <v>1137</v>
      </c>
      <c r="U22" s="413" t="s">
        <v>1137</v>
      </c>
      <c r="V22" s="449"/>
      <c r="W22" s="449"/>
      <c r="X22" s="449"/>
      <c r="Y22" s="449"/>
      <c r="Z22" s="449"/>
      <c r="AA22" s="449"/>
      <c r="AB22" s="449"/>
      <c r="AC22" s="449"/>
      <c r="AD22" s="654"/>
      <c r="AF22" s="655"/>
      <c r="AG22" s="655"/>
      <c r="AH22" s="655"/>
      <c r="AI22" s="655"/>
      <c r="AJ22" s="655"/>
      <c r="AK22" s="655"/>
      <c r="AL22" s="655"/>
      <c r="AM22" s="655"/>
      <c r="AO22" s="485" t="s">
        <v>1139</v>
      </c>
      <c r="AP22" s="486" t="s">
        <v>878</v>
      </c>
      <c r="AQ22" s="487" t="s">
        <v>878</v>
      </c>
      <c r="AR22" s="488" t="s">
        <v>878</v>
      </c>
      <c r="AS22" s="489" t="s">
        <v>878</v>
      </c>
      <c r="AT22" s="490" t="s">
        <v>878</v>
      </c>
      <c r="AU22" s="65"/>
      <c r="AV22" s="65"/>
      <c r="AW22" s="65"/>
    </row>
    <row r="23" spans="4:58" ht="15" x14ac:dyDescent="0.25">
      <c r="D23" s="399" t="str">
        <f t="shared" si="24"/>
        <v>Motorcycle or Moped</v>
      </c>
      <c r="E23" s="491" t="s">
        <v>1112</v>
      </c>
      <c r="F23" s="492">
        <v>6210.6181147681391</v>
      </c>
      <c r="G23" s="493">
        <v>6499.3597960454181</v>
      </c>
      <c r="H23" s="444">
        <f>AVERAGE(G23,I23)</f>
        <v>6590.1525928461842</v>
      </c>
      <c r="I23" s="494">
        <v>6680.9453896469504</v>
      </c>
      <c r="J23" s="444">
        <f>AVERAGE(I23,K23)</f>
        <v>6784.2174941323801</v>
      </c>
      <c r="K23" s="495">
        <v>6887.4895986178099</v>
      </c>
      <c r="L23" s="444">
        <f>AVERAGE(K23,M23)</f>
        <v>6935.2291248680322</v>
      </c>
      <c r="M23" s="496">
        <v>6982.9686511182554</v>
      </c>
      <c r="N23" s="453">
        <f t="shared" ref="N23:U26" si="25">F23*$E$2*$O$2</f>
        <v>141027.50185583998</v>
      </c>
      <c r="O23" s="454">
        <f t="shared" si="25"/>
        <v>147584.0985165429</v>
      </c>
      <c r="P23" s="454">
        <f t="shared" si="25"/>
        <v>149645.77435664483</v>
      </c>
      <c r="Q23" s="454">
        <f t="shared" si="25"/>
        <v>151707.45019674677</v>
      </c>
      <c r="R23" s="454">
        <f t="shared" si="25"/>
        <v>154052.49969710867</v>
      </c>
      <c r="S23" s="454">
        <f t="shared" si="25"/>
        <v>156397.54919747054</v>
      </c>
      <c r="T23" s="454">
        <f t="shared" si="25"/>
        <v>157481.593652054</v>
      </c>
      <c r="U23" s="455">
        <f t="shared" si="25"/>
        <v>158565.63810663752</v>
      </c>
      <c r="V23" s="449">
        <f t="shared" si="12"/>
        <v>1</v>
      </c>
      <c r="W23" s="449">
        <f t="shared" si="13"/>
        <v>1.046491617410944</v>
      </c>
      <c r="X23" s="449">
        <f t="shared" si="14"/>
        <v>1.0611105804711378</v>
      </c>
      <c r="Y23" s="449">
        <f t="shared" si="15"/>
        <v>1.0757295435313317</v>
      </c>
      <c r="Z23" s="449">
        <f t="shared" si="16"/>
        <v>1.0923578569418537</v>
      </c>
      <c r="AA23" s="449">
        <f t="shared" si="17"/>
        <v>1.1089861703523758</v>
      </c>
      <c r="AB23" s="449">
        <f t="shared" si="18"/>
        <v>1.1166729296037139</v>
      </c>
      <c r="AC23" s="449">
        <f t="shared" si="19"/>
        <v>1.1243596888550522</v>
      </c>
      <c r="AD23" s="654">
        <f t="shared" ref="AD23:AD26" si="26">_xlfn.FORECAST.LINEAR($AD$4,$W23:$X23,$W$4:$X$4)</f>
        <v>1.0581867878590998</v>
      </c>
      <c r="AF23" s="655">
        <f t="shared" ref="AF23:AF26" si="27">V23/$AD23</f>
        <v>0.94501274394398549</v>
      </c>
      <c r="AG23" s="655">
        <f t="shared" ref="AG23:AG26" si="28">W23/$AD23</f>
        <v>0.98894791488389566</v>
      </c>
      <c r="AH23" s="655">
        <f t="shared" ref="AH23:AH26" si="29">X23/$AD23</f>
        <v>1.0027630212790253</v>
      </c>
      <c r="AI23" s="655">
        <f t="shared" ref="AI23:AI26" si="30">Y23/$AD23</f>
        <v>1.0165781276741548</v>
      </c>
      <c r="AJ23" s="655">
        <f t="shared" ref="AJ23:AJ26" si="31">Z23/$AD23</f>
        <v>1.0322920957573927</v>
      </c>
      <c r="AK23" s="655">
        <f t="shared" ref="AK23:AK26" si="32">AA23/$AD23</f>
        <v>1.0480060638406308</v>
      </c>
      <c r="AL23" s="655">
        <f t="shared" ref="AL23:AL26" si="33">AB23/$AD23</f>
        <v>1.0552701492927747</v>
      </c>
      <c r="AM23" s="655">
        <f t="shared" ref="AM23:AM26" si="34">AC23/$AD23</f>
        <v>1.0625342347449187</v>
      </c>
      <c r="AO23" s="497" t="s">
        <v>1112</v>
      </c>
      <c r="AP23" s="498">
        <v>1.6564224548036226</v>
      </c>
      <c r="AQ23" s="499">
        <v>1.664528651009056</v>
      </c>
      <c r="AR23" s="500">
        <v>1.6815321585198599</v>
      </c>
      <c r="AS23" s="501">
        <v>1.7042123951240136</v>
      </c>
      <c r="AT23" s="502">
        <v>1.7296445754411365</v>
      </c>
      <c r="AU23" s="65"/>
      <c r="AV23" s="449"/>
      <c r="AW23" s="65"/>
    </row>
    <row r="24" spans="4:58" ht="15" x14ac:dyDescent="0.25">
      <c r="D24" s="399" t="str">
        <f t="shared" si="24"/>
        <v>Motorcycle or Moped</v>
      </c>
      <c r="E24" s="491" t="s">
        <v>1114</v>
      </c>
      <c r="F24" s="492">
        <v>7682.4260976580299</v>
      </c>
      <c r="G24" s="493">
        <v>7020.375962884742</v>
      </c>
      <c r="H24" s="444">
        <f>AVERAGE(G24,I24)</f>
        <v>6907.2377523376317</v>
      </c>
      <c r="I24" s="494">
        <v>6794.0995417905215</v>
      </c>
      <c r="J24" s="444">
        <f>AVERAGE(I24,K24)</f>
        <v>6806.9008673355802</v>
      </c>
      <c r="K24" s="495">
        <v>6819.702192880638</v>
      </c>
      <c r="L24" s="444">
        <f>AVERAGE(K24,M24)</f>
        <v>6844.2846775430935</v>
      </c>
      <c r="M24" s="496">
        <v>6868.8671622055499</v>
      </c>
      <c r="N24" s="453">
        <f t="shared" si="25"/>
        <v>174448.5557997103</v>
      </c>
      <c r="O24" s="454">
        <f t="shared" si="25"/>
        <v>159415.0639821435</v>
      </c>
      <c r="P24" s="454">
        <f t="shared" si="25"/>
        <v>156845.98005151856</v>
      </c>
      <c r="Q24" s="454">
        <f t="shared" si="25"/>
        <v>154276.89612089362</v>
      </c>
      <c r="R24" s="454">
        <f t="shared" si="25"/>
        <v>154567.5819960676</v>
      </c>
      <c r="S24" s="454">
        <f t="shared" si="25"/>
        <v>154858.26787124161</v>
      </c>
      <c r="T24" s="454">
        <f t="shared" si="25"/>
        <v>155416.47421033561</v>
      </c>
      <c r="U24" s="455">
        <f t="shared" si="25"/>
        <v>155974.68054942964</v>
      </c>
      <c r="V24" s="449">
        <f t="shared" si="12"/>
        <v>1</v>
      </c>
      <c r="W24" s="449">
        <f t="shared" si="13"/>
        <v>0.91382277859137329</v>
      </c>
      <c r="X24" s="449">
        <f t="shared" si="14"/>
        <v>0.89909589295538905</v>
      </c>
      <c r="Y24" s="449">
        <f t="shared" si="15"/>
        <v>0.88436900731940493</v>
      </c>
      <c r="Z24" s="449">
        <f t="shared" si="16"/>
        <v>0.88603532019795783</v>
      </c>
      <c r="AA24" s="449">
        <f t="shared" si="17"/>
        <v>0.88770163307651062</v>
      </c>
      <c r="AB24" s="449">
        <f t="shared" si="18"/>
        <v>0.89090146661216285</v>
      </c>
      <c r="AC24" s="449">
        <f t="shared" si="19"/>
        <v>0.89410130014781508</v>
      </c>
      <c r="AD24" s="654">
        <f t="shared" si="26"/>
        <v>0.90204127008258617</v>
      </c>
      <c r="AF24" s="655">
        <f t="shared" si="27"/>
        <v>1.1085967274074335</v>
      </c>
      <c r="AG24" s="655">
        <f t="shared" si="28"/>
        <v>1.0130609417767642</v>
      </c>
      <c r="AH24" s="655">
        <f t="shared" si="29"/>
        <v>0.99673476455580856</v>
      </c>
      <c r="AI24" s="655">
        <f t="shared" si="30"/>
        <v>0.98040858733485303</v>
      </c>
      <c r="AJ24" s="655">
        <f t="shared" si="31"/>
        <v>0.98225585633885359</v>
      </c>
      <c r="AK24" s="655">
        <f t="shared" si="32"/>
        <v>0.98410312534285416</v>
      </c>
      <c r="AL24" s="655">
        <f t="shared" si="33"/>
        <v>0.98765045032872678</v>
      </c>
      <c r="AM24" s="655">
        <f t="shared" si="34"/>
        <v>0.99119777531459941</v>
      </c>
      <c r="AO24" s="497" t="s">
        <v>1114</v>
      </c>
      <c r="AP24" s="498">
        <v>1.242316841102717</v>
      </c>
      <c r="AQ24" s="499">
        <v>1.2481394091943006</v>
      </c>
      <c r="AR24" s="500">
        <v>1.259430521630982</v>
      </c>
      <c r="AS24" s="501">
        <v>1.2740206486619889</v>
      </c>
      <c r="AT24" s="502">
        <v>1.2925924125810369</v>
      </c>
      <c r="AU24" s="65"/>
      <c r="AV24" s="65"/>
      <c r="AW24" s="65"/>
    </row>
    <row r="25" spans="4:58" ht="15" x14ac:dyDescent="0.25">
      <c r="D25" s="399" t="str">
        <f t="shared" si="24"/>
        <v>Motorcycle or Moped</v>
      </c>
      <c r="E25" s="491" t="s">
        <v>1117</v>
      </c>
      <c r="F25" s="492">
        <v>10011.969488956187</v>
      </c>
      <c r="G25" s="493">
        <v>7991.4603169458269</v>
      </c>
      <c r="H25" s="444">
        <f>AVERAGE(G25,I25)</f>
        <v>7550.1545424239548</v>
      </c>
      <c r="I25" s="494">
        <v>7108.8487679020827</v>
      </c>
      <c r="J25" s="444">
        <f>AVERAGE(I25,K25)</f>
        <v>7217.5197709228114</v>
      </c>
      <c r="K25" s="495">
        <v>7326.1907739435401</v>
      </c>
      <c r="L25" s="444">
        <f>AVERAGE(K25,M25)</f>
        <v>7433.5758269488142</v>
      </c>
      <c r="M25" s="496">
        <v>7540.9608799540883</v>
      </c>
      <c r="N25" s="453">
        <f t="shared" si="25"/>
        <v>227346.62147828657</v>
      </c>
      <c r="O25" s="454">
        <f t="shared" si="25"/>
        <v>181465.94491118923</v>
      </c>
      <c r="P25" s="454">
        <f t="shared" si="25"/>
        <v>171445.00178036213</v>
      </c>
      <c r="Q25" s="454">
        <f t="shared" si="25"/>
        <v>161424.058649535</v>
      </c>
      <c r="R25" s="454">
        <f t="shared" si="25"/>
        <v>163891.70354364614</v>
      </c>
      <c r="S25" s="454">
        <f t="shared" si="25"/>
        <v>166359.34843775732</v>
      </c>
      <c r="T25" s="454">
        <f t="shared" si="25"/>
        <v>168797.79264445865</v>
      </c>
      <c r="U25" s="455">
        <f t="shared" si="25"/>
        <v>171236.23685116001</v>
      </c>
      <c r="V25" s="449">
        <f t="shared" si="12"/>
        <v>1</v>
      </c>
      <c r="W25" s="449">
        <f t="shared" si="13"/>
        <v>0.79819063829158643</v>
      </c>
      <c r="X25" s="449">
        <f t="shared" si="14"/>
        <v>0.75411281973564104</v>
      </c>
      <c r="Y25" s="449">
        <f t="shared" si="15"/>
        <v>0.71003500117969565</v>
      </c>
      <c r="Z25" s="449">
        <f t="shared" si="16"/>
        <v>0.72088910966859976</v>
      </c>
      <c r="AA25" s="449">
        <f t="shared" si="17"/>
        <v>0.73174321815750387</v>
      </c>
      <c r="AB25" s="449">
        <f t="shared" si="18"/>
        <v>0.74246888538249156</v>
      </c>
      <c r="AC25" s="449">
        <f t="shared" si="19"/>
        <v>0.75319455260747925</v>
      </c>
      <c r="AD25" s="654">
        <f t="shared" si="26"/>
        <v>0.76292838344683034</v>
      </c>
      <c r="AF25" s="655">
        <f t="shared" si="27"/>
        <v>1.310739017838221</v>
      </c>
      <c r="AG25" s="655">
        <f t="shared" si="28"/>
        <v>1.0462196132819765</v>
      </c>
      <c r="AH25" s="655">
        <f t="shared" si="29"/>
        <v>0.98844509667950542</v>
      </c>
      <c r="AI25" s="655">
        <f t="shared" si="30"/>
        <v>0.93067058007703429</v>
      </c>
      <c r="AJ25" s="655">
        <f t="shared" si="31"/>
        <v>0.94489748357728998</v>
      </c>
      <c r="AK25" s="655">
        <f t="shared" si="32"/>
        <v>0.95912438707754566</v>
      </c>
      <c r="AL25" s="655">
        <f t="shared" si="33"/>
        <v>0.97318293760168562</v>
      </c>
      <c r="AM25" s="655">
        <f t="shared" si="34"/>
        <v>0.98724148812582557</v>
      </c>
      <c r="AO25" s="497" t="s">
        <v>1117</v>
      </c>
      <c r="AP25" s="498">
        <v>0.33397671303006748</v>
      </c>
      <c r="AQ25" s="499">
        <v>0.33402150661228786</v>
      </c>
      <c r="AR25" s="500">
        <v>0.33434041933986308</v>
      </c>
      <c r="AS25" s="501">
        <v>0.33473169077151199</v>
      </c>
      <c r="AT25" s="502">
        <v>0.33522495556776438</v>
      </c>
      <c r="AU25" s="65"/>
      <c r="AV25" s="65"/>
      <c r="AW25" s="65"/>
    </row>
    <row r="26" spans="4:58" ht="15" x14ac:dyDescent="0.25">
      <c r="D26" s="399" t="str">
        <f t="shared" si="24"/>
        <v>Motorcycle or Moped</v>
      </c>
      <c r="E26" s="491" t="s">
        <v>1116</v>
      </c>
      <c r="F26" s="492">
        <v>63976.881300265428</v>
      </c>
      <c r="G26" s="493">
        <v>23695.777617700565</v>
      </c>
      <c r="H26" s="444">
        <f>AVERAGE(G26,I26)</f>
        <v>17381.576449172615</v>
      </c>
      <c r="I26" s="494">
        <v>11067.375280644666</v>
      </c>
      <c r="J26" s="444">
        <f>AVERAGE(I26,K26)</f>
        <v>10326.744865698125</v>
      </c>
      <c r="K26" s="495">
        <v>9586.1144507515837</v>
      </c>
      <c r="L26" s="444">
        <f>AVERAGE(K26,M26)</f>
        <v>9436.8654111869891</v>
      </c>
      <c r="M26" s="496">
        <v>9287.6163716223946</v>
      </c>
      <c r="N26" s="453">
        <f t="shared" si="25"/>
        <v>1452753.9094457545</v>
      </c>
      <c r="O26" s="454">
        <f t="shared" si="25"/>
        <v>538071.45443535224</v>
      </c>
      <c r="P26" s="454">
        <f t="shared" si="25"/>
        <v>394691.84220395895</v>
      </c>
      <c r="Q26" s="454">
        <f t="shared" si="25"/>
        <v>251312.22997256575</v>
      </c>
      <c r="R26" s="454">
        <f t="shared" si="25"/>
        <v>234494.37782190836</v>
      </c>
      <c r="S26" s="454">
        <f t="shared" si="25"/>
        <v>217676.52567125103</v>
      </c>
      <c r="T26" s="454">
        <f t="shared" si="25"/>
        <v>214287.45572439212</v>
      </c>
      <c r="U26" s="455">
        <f t="shared" si="25"/>
        <v>210898.3857775332</v>
      </c>
      <c r="V26" s="449">
        <f t="shared" si="12"/>
        <v>1</v>
      </c>
      <c r="W26" s="449">
        <f t="shared" si="13"/>
        <v>0.37038031764143303</v>
      </c>
      <c r="X26" s="449">
        <f t="shared" si="14"/>
        <v>0.27168527280338844</v>
      </c>
      <c r="Y26" s="449">
        <f t="shared" si="15"/>
        <v>0.17299022796534394</v>
      </c>
      <c r="Z26" s="449">
        <f t="shared" si="16"/>
        <v>0.16141369594480814</v>
      </c>
      <c r="AA26" s="449">
        <f t="shared" si="17"/>
        <v>0.14983716392427232</v>
      </c>
      <c r="AB26" s="449">
        <f t="shared" si="18"/>
        <v>0.14750430498317893</v>
      </c>
      <c r="AC26" s="449">
        <f t="shared" si="19"/>
        <v>0.14517144604208554</v>
      </c>
      <c r="AD26" s="654">
        <f t="shared" si="26"/>
        <v>0.29142428177099333</v>
      </c>
      <c r="AF26" s="655">
        <f t="shared" si="27"/>
        <v>3.4314230575536557</v>
      </c>
      <c r="AG26" s="655">
        <f t="shared" si="28"/>
        <v>1.2709315620188604</v>
      </c>
      <c r="AH26" s="655">
        <f t="shared" si="29"/>
        <v>0.93226710949530223</v>
      </c>
      <c r="AI26" s="655">
        <f t="shared" si="30"/>
        <v>0.59360265697174441</v>
      </c>
      <c r="AJ26" s="655">
        <f t="shared" si="31"/>
        <v>0.55387867806996971</v>
      </c>
      <c r="AK26" s="655">
        <f t="shared" si="32"/>
        <v>0.51415469916819478</v>
      </c>
      <c r="AL26" s="655">
        <f t="shared" si="33"/>
        <v>0.50614967320770676</v>
      </c>
      <c r="AM26" s="655">
        <f t="shared" si="34"/>
        <v>0.49814464724721869</v>
      </c>
      <c r="AO26" s="497" t="s">
        <v>1116</v>
      </c>
      <c r="AP26" s="498">
        <v>0.73404373741708251</v>
      </c>
      <c r="AQ26" s="499">
        <v>0.73414218873785586</v>
      </c>
      <c r="AR26" s="500">
        <v>0.73484312350763448</v>
      </c>
      <c r="AS26" s="501">
        <v>0.73570309467576289</v>
      </c>
      <c r="AT26" s="502">
        <v>0.7367872359360691</v>
      </c>
      <c r="AU26" s="65"/>
      <c r="AV26" s="65"/>
      <c r="AW26" s="65"/>
    </row>
    <row r="27" spans="4:58" ht="15" x14ac:dyDescent="0.25">
      <c r="D27" s="399" t="str">
        <f t="shared" si="24"/>
        <v>Motorcycle or Moped</v>
      </c>
      <c r="E27" s="503"/>
      <c r="M27" s="408"/>
      <c r="N27" s="439"/>
      <c r="U27" s="413"/>
      <c r="V27" s="449"/>
      <c r="W27" s="449"/>
      <c r="X27" s="449"/>
      <c r="Y27" s="449"/>
      <c r="Z27" s="449"/>
      <c r="AA27" s="449"/>
      <c r="AB27" s="449"/>
      <c r="AC27" s="449"/>
      <c r="AD27" s="654"/>
      <c r="AF27" s="655"/>
      <c r="AG27" s="655"/>
      <c r="AH27" s="655"/>
      <c r="AI27" s="655"/>
      <c r="AJ27" s="655"/>
      <c r="AK27" s="655"/>
      <c r="AL27" s="655"/>
      <c r="AM27" s="655"/>
    </row>
    <row r="28" spans="4:58" ht="15" x14ac:dyDescent="0.2">
      <c r="D28" s="399" t="str">
        <f t="shared" si="24"/>
        <v>Motorcycle or Moped</v>
      </c>
      <c r="E28" s="414" t="s">
        <v>1128</v>
      </c>
      <c r="F28" s="415" t="s">
        <v>1129</v>
      </c>
      <c r="G28" s="416">
        <v>0.08</v>
      </c>
      <c r="H28" s="505"/>
      <c r="M28" s="408"/>
      <c r="N28" s="439"/>
      <c r="U28" s="413"/>
      <c r="V28" s="449"/>
      <c r="W28" s="449"/>
      <c r="X28" s="449"/>
      <c r="Y28" s="449"/>
      <c r="Z28" s="449"/>
      <c r="AA28" s="449"/>
      <c r="AB28" s="449"/>
      <c r="AC28" s="449"/>
      <c r="AD28" s="654"/>
      <c r="AF28" s="655"/>
      <c r="AG28" s="655"/>
      <c r="AH28" s="655"/>
      <c r="AI28" s="655"/>
      <c r="AJ28" s="655"/>
      <c r="AK28" s="655"/>
      <c r="AL28" s="655"/>
      <c r="AM28" s="655"/>
      <c r="AO28" s="425" t="s">
        <v>1131</v>
      </c>
      <c r="AP28" s="399" t="s">
        <v>1132</v>
      </c>
    </row>
    <row r="29" spans="4:58" ht="15" x14ac:dyDescent="0.2">
      <c r="D29" s="399" t="str">
        <f>E29</f>
        <v xml:space="preserve">Van / LCV </v>
      </c>
      <c r="E29" s="426" t="s">
        <v>1110</v>
      </c>
      <c r="F29" s="427">
        <v>2010</v>
      </c>
      <c r="G29" s="427">
        <v>2020</v>
      </c>
      <c r="H29" s="471"/>
      <c r="I29" s="427">
        <v>2030</v>
      </c>
      <c r="J29" s="427"/>
      <c r="K29" s="427">
        <v>2040</v>
      </c>
      <c r="L29" s="427"/>
      <c r="M29" s="430">
        <v>2050</v>
      </c>
      <c r="N29" s="431" t="e">
        <f>#REF!</f>
        <v>#REF!</v>
      </c>
      <c r="O29" s="432" t="e">
        <f>#REF!</f>
        <v>#REF!</v>
      </c>
      <c r="P29" s="432" t="e">
        <f>#REF!</f>
        <v>#REF!</v>
      </c>
      <c r="Q29" s="432" t="e">
        <f>#REF!</f>
        <v>#REF!</v>
      </c>
      <c r="R29" s="432" t="e">
        <f>#REF!</f>
        <v>#REF!</v>
      </c>
      <c r="S29" s="432" t="e">
        <f>#REF!</f>
        <v>#REF!</v>
      </c>
      <c r="T29" s="432" t="e">
        <f>#REF!</f>
        <v>#REF!</v>
      </c>
      <c r="U29" s="433" t="e">
        <f>#REF!</f>
        <v>#REF!</v>
      </c>
      <c r="V29" s="449"/>
      <c r="W29" s="449"/>
      <c r="X29" s="449"/>
      <c r="Y29" s="449"/>
      <c r="Z29" s="449"/>
      <c r="AA29" s="449"/>
      <c r="AB29" s="449"/>
      <c r="AC29" s="449"/>
      <c r="AD29" s="654"/>
      <c r="AF29" s="655"/>
      <c r="AG29" s="655"/>
      <c r="AH29" s="655"/>
      <c r="AI29" s="655"/>
      <c r="AJ29" s="655"/>
      <c r="AK29" s="655"/>
      <c r="AL29" s="655"/>
      <c r="AM29" s="655"/>
      <c r="AO29" s="427" t="s">
        <v>1110</v>
      </c>
      <c r="AP29" s="427">
        <v>2010</v>
      </c>
      <c r="AQ29" s="427">
        <v>2020</v>
      </c>
      <c r="AR29" s="427">
        <v>2030</v>
      </c>
      <c r="AS29" s="427">
        <v>2040</v>
      </c>
      <c r="AT29" s="427">
        <v>2050</v>
      </c>
    </row>
    <row r="30" spans="4:58" ht="15" x14ac:dyDescent="0.2">
      <c r="D30" s="399" t="str">
        <f t="shared" ref="D30:D45" si="35">D29</f>
        <v xml:space="preserve">Van / LCV </v>
      </c>
      <c r="E30" s="434" t="s">
        <v>1135</v>
      </c>
      <c r="F30" s="443"/>
      <c r="G30" s="435" t="s">
        <v>878</v>
      </c>
      <c r="H30" s="506"/>
      <c r="I30" s="435" t="s">
        <v>878</v>
      </c>
      <c r="J30" s="435"/>
      <c r="K30" s="435" t="s">
        <v>878</v>
      </c>
      <c r="L30" s="435"/>
      <c r="M30" s="438" t="s">
        <v>878</v>
      </c>
      <c r="N30" s="439" t="s">
        <v>1137</v>
      </c>
      <c r="O30" s="412" t="s">
        <v>1137</v>
      </c>
      <c r="P30" s="412" t="s">
        <v>1137</v>
      </c>
      <c r="Q30" s="412" t="s">
        <v>1137</v>
      </c>
      <c r="R30" s="412" t="s">
        <v>1137</v>
      </c>
      <c r="S30" s="412" t="s">
        <v>1137</v>
      </c>
      <c r="T30" s="412" t="s">
        <v>1137</v>
      </c>
      <c r="U30" s="413" t="s">
        <v>1137</v>
      </c>
      <c r="V30" s="449"/>
      <c r="W30" s="449"/>
      <c r="X30" s="449"/>
      <c r="Y30" s="449"/>
      <c r="Z30" s="449"/>
      <c r="AA30" s="449"/>
      <c r="AB30" s="449"/>
      <c r="AC30" s="449"/>
      <c r="AD30" s="654"/>
      <c r="AF30" s="655"/>
      <c r="AG30" s="655"/>
      <c r="AH30" s="655"/>
      <c r="AI30" s="655"/>
      <c r="AJ30" s="655"/>
      <c r="AK30" s="655"/>
      <c r="AL30" s="655"/>
      <c r="AM30" s="655"/>
      <c r="AO30" s="440" t="s">
        <v>1139</v>
      </c>
      <c r="AP30" s="441" t="s">
        <v>1140</v>
      </c>
      <c r="AQ30" s="441" t="s">
        <v>1140</v>
      </c>
      <c r="AR30" s="441" t="s">
        <v>1140</v>
      </c>
      <c r="AS30" s="441" t="s">
        <v>1140</v>
      </c>
      <c r="AT30" s="441" t="s">
        <v>1140</v>
      </c>
    </row>
    <row r="31" spans="4:58" ht="15" x14ac:dyDescent="0.2">
      <c r="D31" s="399" t="str">
        <f t="shared" si="35"/>
        <v xml:space="preserve">Van / LCV </v>
      </c>
      <c r="E31" s="442" t="s">
        <v>1112</v>
      </c>
      <c r="F31" s="443">
        <v>11305.478439259858</v>
      </c>
      <c r="G31" s="443">
        <v>12289.794448140692</v>
      </c>
      <c r="H31" s="444">
        <f t="shared" ref="H31:H43" si="36">AVERAGE(G31,I31)</f>
        <v>12516.277438952329</v>
      </c>
      <c r="I31" s="443">
        <v>12742.760429763966</v>
      </c>
      <c r="J31" s="444">
        <f t="shared" ref="J31:J43" si="37">AVERAGE(I31,K31)</f>
        <v>13021.038161305632</v>
      </c>
      <c r="K31" s="443">
        <v>13299.315892847299</v>
      </c>
      <c r="L31" s="444">
        <f t="shared" ref="L31:L43" si="38">AVERAGE(K31,M31)</f>
        <v>13438.741884494142</v>
      </c>
      <c r="M31" s="445">
        <v>13578.167876140986</v>
      </c>
      <c r="N31" s="453">
        <f t="shared" ref="N31:U43" si="39">F31*$E$2*$O$2</f>
        <v>256718.95326853491</v>
      </c>
      <c r="O31" s="454">
        <f t="shared" si="39"/>
        <v>279070.29176720825</v>
      </c>
      <c r="P31" s="454">
        <f t="shared" si="39"/>
        <v>284213.15030669142</v>
      </c>
      <c r="Q31" s="454">
        <f t="shared" si="39"/>
        <v>289356.00884617458</v>
      </c>
      <c r="R31" s="454">
        <f t="shared" si="39"/>
        <v>295674.99555187975</v>
      </c>
      <c r="S31" s="454">
        <f t="shared" si="39"/>
        <v>301993.98225758487</v>
      </c>
      <c r="T31" s="454">
        <f t="shared" si="39"/>
        <v>305159.99551622837</v>
      </c>
      <c r="U31" s="455">
        <f t="shared" si="39"/>
        <v>308326.00877487194</v>
      </c>
      <c r="V31" s="449">
        <f t="shared" si="12"/>
        <v>1</v>
      </c>
      <c r="W31" s="449">
        <f t="shared" si="13"/>
        <v>1.0870654005639124</v>
      </c>
      <c r="X31" s="449">
        <f t="shared" si="14"/>
        <v>1.1070984307473271</v>
      </c>
      <c r="Y31" s="449">
        <f t="shared" si="15"/>
        <v>1.1271314609307419</v>
      </c>
      <c r="Z31" s="449">
        <f t="shared" si="16"/>
        <v>1.1517458753526302</v>
      </c>
      <c r="AA31" s="449">
        <f t="shared" si="17"/>
        <v>1.1763602897745187</v>
      </c>
      <c r="AB31" s="449">
        <f t="shared" si="18"/>
        <v>1.1886928940420805</v>
      </c>
      <c r="AC31" s="449">
        <f t="shared" si="19"/>
        <v>1.2010254983096422</v>
      </c>
      <c r="AD31" s="654">
        <f t="shared" ref="AD31:AD43" si="40">_xlfn.FORECAST.LINEAR($AD$4,$W31:$X31,$W$4:$X$4)</f>
        <v>1.1030918247106438</v>
      </c>
      <c r="AF31" s="655">
        <f t="shared" ref="AF31:AF43" si="41">V31/$AD31</f>
        <v>0.90654284403051744</v>
      </c>
      <c r="AG31" s="655">
        <f t="shared" ref="AG31:AG43" si="42">W31/$AD31</f>
        <v>0.98547135987438272</v>
      </c>
      <c r="AH31" s="655">
        <f t="shared" ref="AH31:AH43" si="43">X31/$AD31</f>
        <v>1.0036321600314047</v>
      </c>
      <c r="AI31" s="655">
        <f t="shared" ref="AI31:AI43" si="44">Y31/$AD31</f>
        <v>1.0217929601884268</v>
      </c>
      <c r="AJ31" s="655">
        <f t="shared" ref="AJ31:AJ43" si="45">Z31/$AD31</f>
        <v>1.0441069814425912</v>
      </c>
      <c r="AK31" s="655">
        <f t="shared" ref="AK31:AK43" si="46">AA31/$AD31</f>
        <v>1.0664210026967558</v>
      </c>
      <c r="AL31" s="655">
        <f t="shared" ref="AL31:AL43" si="47">AB31/$AD31</f>
        <v>1.0776010368437741</v>
      </c>
      <c r="AM31" s="655">
        <f t="shared" ref="AM31:AM43" si="48">AC31/$AD31</f>
        <v>1.0887810709907924</v>
      </c>
      <c r="AO31" s="450" t="s">
        <v>1112</v>
      </c>
      <c r="AP31" s="451">
        <v>2.8454207298952694</v>
      </c>
      <c r="AQ31" s="451">
        <v>2.3296805874954902</v>
      </c>
      <c r="AR31" s="451">
        <v>2.0623539773065218</v>
      </c>
      <c r="AS31" s="451">
        <v>1.8329916444732148</v>
      </c>
      <c r="AT31" s="451">
        <v>1.6746537880884433</v>
      </c>
    </row>
    <row r="32" spans="4:58" ht="15" x14ac:dyDescent="0.2">
      <c r="D32" s="399" t="str">
        <f t="shared" si="35"/>
        <v xml:space="preserve">Van / LCV </v>
      </c>
      <c r="E32" s="442" t="s">
        <v>1111</v>
      </c>
      <c r="F32" s="443">
        <v>12067.578439259856</v>
      </c>
      <c r="G32" s="443">
        <v>13322.531671240238</v>
      </c>
      <c r="H32" s="444">
        <f t="shared" si="36"/>
        <v>13559.916920694781</v>
      </c>
      <c r="I32" s="443">
        <v>13797.302170149324</v>
      </c>
      <c r="J32" s="444">
        <f t="shared" si="37"/>
        <v>14084.66938951456</v>
      </c>
      <c r="K32" s="443">
        <v>14372.036608879796</v>
      </c>
      <c r="L32" s="444">
        <f t="shared" si="38"/>
        <v>14513.120679970814</v>
      </c>
      <c r="M32" s="445">
        <v>14654.204751061832</v>
      </c>
      <c r="N32" s="453">
        <f t="shared" si="39"/>
        <v>274024.32564504078</v>
      </c>
      <c r="O32" s="454">
        <f t="shared" si="39"/>
        <v>302521.15413804707</v>
      </c>
      <c r="P32" s="454">
        <f t="shared" si="39"/>
        <v>307911.57552434888</v>
      </c>
      <c r="Q32" s="454">
        <f t="shared" si="39"/>
        <v>313301.99691065069</v>
      </c>
      <c r="R32" s="454">
        <f t="shared" si="39"/>
        <v>319827.38300160522</v>
      </c>
      <c r="S32" s="454">
        <f t="shared" si="39"/>
        <v>326352.76909255981</v>
      </c>
      <c r="T32" s="454">
        <f t="shared" si="39"/>
        <v>329556.43316108553</v>
      </c>
      <c r="U32" s="455">
        <f t="shared" si="39"/>
        <v>332760.09722961136</v>
      </c>
      <c r="V32" s="449">
        <f t="shared" si="12"/>
        <v>1</v>
      </c>
      <c r="W32" s="449">
        <f t="shared" si="13"/>
        <v>1.1039937911567743</v>
      </c>
      <c r="X32" s="449">
        <f t="shared" si="14"/>
        <v>1.1236651154949073</v>
      </c>
      <c r="Y32" s="449">
        <f t="shared" si="15"/>
        <v>1.1433364398330406</v>
      </c>
      <c r="Z32" s="449">
        <f t="shared" si="16"/>
        <v>1.1671496034111064</v>
      </c>
      <c r="AA32" s="449">
        <f t="shared" si="17"/>
        <v>1.1909627669891725</v>
      </c>
      <c r="AB32" s="449">
        <f t="shared" si="18"/>
        <v>1.202653933680248</v>
      </c>
      <c r="AC32" s="449">
        <f t="shared" si="19"/>
        <v>1.2143451003713237</v>
      </c>
      <c r="AD32" s="654">
        <f t="shared" si="40"/>
        <v>1.1197308506272803</v>
      </c>
      <c r="AF32" s="655">
        <f t="shared" si="41"/>
        <v>0.8930717586639626</v>
      </c>
      <c r="AG32" s="655">
        <f t="shared" si="42"/>
        <v>0.9859456766224759</v>
      </c>
      <c r="AH32" s="655">
        <f t="shared" si="43"/>
        <v>1.0035135808443816</v>
      </c>
      <c r="AI32" s="655">
        <f t="shared" si="44"/>
        <v>1.0210814850662875</v>
      </c>
      <c r="AJ32" s="655">
        <f t="shared" si="45"/>
        <v>1.0423483489423033</v>
      </c>
      <c r="AK32" s="655">
        <f t="shared" si="46"/>
        <v>1.0636152128183194</v>
      </c>
      <c r="AL32" s="655">
        <f t="shared" si="47"/>
        <v>1.0740562636159516</v>
      </c>
      <c r="AM32" s="655">
        <f t="shared" si="48"/>
        <v>1.0844973144135843</v>
      </c>
      <c r="AO32" s="450" t="s">
        <v>1111</v>
      </c>
      <c r="AP32" s="451">
        <v>2.9031215330752671</v>
      </c>
      <c r="AQ32" s="451">
        <v>2.4869210927283421</v>
      </c>
      <c r="AR32" s="451">
        <v>2.1950138474685241</v>
      </c>
      <c r="AS32" s="451">
        <v>1.9626838778588267</v>
      </c>
      <c r="AT32" s="451">
        <v>1.7998752123887785</v>
      </c>
    </row>
    <row r="33" spans="4:56" ht="15" x14ac:dyDescent="0.25">
      <c r="D33" s="399" t="str">
        <f t="shared" si="35"/>
        <v xml:space="preserve">Van / LCV </v>
      </c>
      <c r="E33" s="442" t="s">
        <v>1114</v>
      </c>
      <c r="F33" s="443">
        <v>13782.736415022977</v>
      </c>
      <c r="G33" s="443">
        <v>13427.805704040664</v>
      </c>
      <c r="H33" s="444">
        <f t="shared" si="36"/>
        <v>13342.505844101395</v>
      </c>
      <c r="I33" s="443">
        <v>13257.205984162127</v>
      </c>
      <c r="J33" s="444">
        <f t="shared" si="37"/>
        <v>13379.130824979849</v>
      </c>
      <c r="K33" s="443">
        <v>13501.055665797574</v>
      </c>
      <c r="L33" s="444">
        <f t="shared" si="38"/>
        <v>13550.4912530031</v>
      </c>
      <c r="M33" s="445">
        <v>13599.926840208624</v>
      </c>
      <c r="N33" s="453">
        <f t="shared" si="39"/>
        <v>312971.24528172216</v>
      </c>
      <c r="O33" s="454">
        <f t="shared" si="39"/>
        <v>304911.66239049146</v>
      </c>
      <c r="P33" s="454">
        <f t="shared" si="39"/>
        <v>302974.71731778071</v>
      </c>
      <c r="Q33" s="454">
        <f t="shared" si="39"/>
        <v>301037.77224507002</v>
      </c>
      <c r="R33" s="454">
        <f t="shared" si="39"/>
        <v>303806.37842837517</v>
      </c>
      <c r="S33" s="454">
        <f t="shared" si="39"/>
        <v>306574.98461168044</v>
      </c>
      <c r="T33" s="454">
        <f t="shared" si="39"/>
        <v>307697.54234064365</v>
      </c>
      <c r="U33" s="455">
        <f t="shared" si="39"/>
        <v>308820.10006960679</v>
      </c>
      <c r="V33" s="449">
        <f t="shared" si="12"/>
        <v>1</v>
      </c>
      <c r="W33" s="449">
        <f t="shared" si="13"/>
        <v>0.97424816812172044</v>
      </c>
      <c r="X33" s="449">
        <f t="shared" si="14"/>
        <v>0.96805927664395175</v>
      </c>
      <c r="Y33" s="449">
        <f t="shared" si="15"/>
        <v>0.96187038516618295</v>
      </c>
      <c r="Z33" s="449">
        <f t="shared" si="16"/>
        <v>0.97071658501694891</v>
      </c>
      <c r="AA33" s="449">
        <f t="shared" si="17"/>
        <v>0.97956278486771498</v>
      </c>
      <c r="AB33" s="449">
        <f t="shared" si="18"/>
        <v>0.98314956079645166</v>
      </c>
      <c r="AC33" s="449">
        <f t="shared" si="19"/>
        <v>0.98673633672518812</v>
      </c>
      <c r="AD33" s="654">
        <f t="shared" si="40"/>
        <v>0.96929705493950502</v>
      </c>
      <c r="AF33" s="655">
        <f t="shared" si="41"/>
        <v>1.0316754754427797</v>
      </c>
      <c r="AG33" s="655">
        <f t="shared" si="42"/>
        <v>1.005107942046233</v>
      </c>
      <c r="AH33" s="655">
        <f t="shared" si="43"/>
        <v>0.99872301448844236</v>
      </c>
      <c r="AI33" s="655">
        <f t="shared" si="44"/>
        <v>0.9923380869306514</v>
      </c>
      <c r="AJ33" s="655">
        <f t="shared" si="45"/>
        <v>1.0014644943675521</v>
      </c>
      <c r="AK33" s="655">
        <f t="shared" si="46"/>
        <v>1.0105909018044532</v>
      </c>
      <c r="AL33" s="655">
        <f t="shared" si="47"/>
        <v>1.0142912905660393</v>
      </c>
      <c r="AM33" s="655">
        <f t="shared" si="48"/>
        <v>1.0179916793276251</v>
      </c>
      <c r="AO33" s="450" t="s">
        <v>1114</v>
      </c>
      <c r="AP33" s="451">
        <v>2.1741726994604185</v>
      </c>
      <c r="AQ33" s="451">
        <v>1.8493575989035749</v>
      </c>
      <c r="AR33" s="451">
        <v>1.6855443145895808</v>
      </c>
      <c r="AS33" s="451">
        <v>1.5284648640407557</v>
      </c>
      <c r="AT33" s="451">
        <v>1.386769162504049</v>
      </c>
      <c r="AX33" s="507"/>
      <c r="AY33" s="508"/>
      <c r="AZ33" s="509"/>
      <c r="BA33" s="509"/>
      <c r="BB33" s="509"/>
    </row>
    <row r="34" spans="4:56" ht="15" x14ac:dyDescent="0.25">
      <c r="D34" s="399" t="str">
        <f t="shared" si="35"/>
        <v xml:space="preserve">Van / LCV </v>
      </c>
      <c r="E34" s="442" t="s">
        <v>1113</v>
      </c>
      <c r="F34" s="443">
        <v>14581.175917305238</v>
      </c>
      <c r="G34" s="443">
        <v>14391.269995327921</v>
      </c>
      <c r="H34" s="444">
        <f t="shared" si="36"/>
        <v>14294.563247962416</v>
      </c>
      <c r="I34" s="443">
        <v>14197.856500596912</v>
      </c>
      <c r="J34" s="444">
        <f t="shared" si="37"/>
        <v>14327.249958258559</v>
      </c>
      <c r="K34" s="443">
        <v>14456.643415920207</v>
      </c>
      <c r="L34" s="444">
        <f t="shared" si="38"/>
        <v>14506.008189654398</v>
      </c>
      <c r="M34" s="445">
        <v>14555.372963388589</v>
      </c>
      <c r="N34" s="453">
        <f t="shared" si="39"/>
        <v>331101.79626860912</v>
      </c>
      <c r="O34" s="454">
        <f t="shared" si="39"/>
        <v>326789.51087781903</v>
      </c>
      <c r="P34" s="454">
        <f t="shared" si="39"/>
        <v>324593.54410904757</v>
      </c>
      <c r="Q34" s="454">
        <f t="shared" si="39"/>
        <v>322397.57734027604</v>
      </c>
      <c r="R34" s="454">
        <f t="shared" si="39"/>
        <v>325335.7770095038</v>
      </c>
      <c r="S34" s="454">
        <f t="shared" si="39"/>
        <v>328273.9766787315</v>
      </c>
      <c r="T34" s="454">
        <f t="shared" si="39"/>
        <v>329394.92641203705</v>
      </c>
      <c r="U34" s="455">
        <f t="shared" si="39"/>
        <v>330515.8761453426</v>
      </c>
      <c r="V34" s="449">
        <f t="shared" si="12"/>
        <v>1</v>
      </c>
      <c r="W34" s="449">
        <f t="shared" si="13"/>
        <v>0.98697595289609441</v>
      </c>
      <c r="X34" s="449">
        <f t="shared" si="14"/>
        <v>0.98034365191337802</v>
      </c>
      <c r="Y34" s="449">
        <f t="shared" si="15"/>
        <v>0.97371135093066163</v>
      </c>
      <c r="Z34" s="449">
        <f t="shared" si="16"/>
        <v>0.98258535796517521</v>
      </c>
      <c r="AA34" s="449">
        <f t="shared" si="17"/>
        <v>0.9914593649996889</v>
      </c>
      <c r="AB34" s="449">
        <f t="shared" si="18"/>
        <v>0.99484487889885276</v>
      </c>
      <c r="AC34" s="449">
        <f t="shared" si="19"/>
        <v>0.99823039279801673</v>
      </c>
      <c r="AD34" s="654">
        <f t="shared" si="40"/>
        <v>0.98167011210992117</v>
      </c>
      <c r="AF34" s="655">
        <f t="shared" si="41"/>
        <v>1.0186721462372752</v>
      </c>
      <c r="AG34" s="655">
        <f t="shared" si="42"/>
        <v>1.0054049122212443</v>
      </c>
      <c r="AH34" s="655">
        <f t="shared" si="43"/>
        <v>0.99864877194468904</v>
      </c>
      <c r="AI34" s="655">
        <f t="shared" si="44"/>
        <v>0.9918926316681338</v>
      </c>
      <c r="AJ34" s="655">
        <f t="shared" si="45"/>
        <v>1.0009323354597064</v>
      </c>
      <c r="AK34" s="655">
        <f t="shared" si="46"/>
        <v>1.0099720392512792</v>
      </c>
      <c r="AL34" s="655">
        <f t="shared" si="47"/>
        <v>1.0134207679610565</v>
      </c>
      <c r="AM34" s="655">
        <f t="shared" si="48"/>
        <v>1.016869496670834</v>
      </c>
      <c r="AO34" s="450" t="s">
        <v>1113</v>
      </c>
      <c r="AP34" s="451">
        <v>2.4252993644945193</v>
      </c>
      <c r="AQ34" s="451">
        <v>2.161460571136546</v>
      </c>
      <c r="AR34" s="451">
        <v>1.9679702241767287</v>
      </c>
      <c r="AS34" s="451">
        <v>1.7987528433147613</v>
      </c>
      <c r="AT34" s="451">
        <v>1.6393124698954793</v>
      </c>
      <c r="AY34" s="508"/>
      <c r="AZ34" s="509"/>
      <c r="BA34" s="509"/>
      <c r="BB34" s="509"/>
    </row>
    <row r="35" spans="4:56" ht="15" x14ac:dyDescent="0.25">
      <c r="D35" s="399" t="str">
        <f t="shared" si="35"/>
        <v xml:space="preserve">Van / LCV </v>
      </c>
      <c r="E35" s="442" t="s">
        <v>1141</v>
      </c>
      <c r="F35" s="443">
        <v>17244.006666903901</v>
      </c>
      <c r="G35" s="443">
        <v>14975.578208305285</v>
      </c>
      <c r="H35" s="444">
        <f t="shared" si="36"/>
        <v>14582.535049386763</v>
      </c>
      <c r="I35" s="443">
        <v>14189.491890468238</v>
      </c>
      <c r="J35" s="444">
        <f t="shared" si="37"/>
        <v>14227.836500369689</v>
      </c>
      <c r="K35" s="443">
        <v>14266.18111027114</v>
      </c>
      <c r="L35" s="444">
        <f t="shared" si="38"/>
        <v>14253.68100490546</v>
      </c>
      <c r="M35" s="445">
        <v>14241.180899539781</v>
      </c>
      <c r="N35" s="453">
        <f t="shared" si="39"/>
        <v>391567.9787871961</v>
      </c>
      <c r="O35" s="454">
        <f t="shared" si="39"/>
        <v>340057.67937043676</v>
      </c>
      <c r="P35" s="454">
        <f t="shared" si="39"/>
        <v>331132.65873650002</v>
      </c>
      <c r="Q35" s="454">
        <f t="shared" si="39"/>
        <v>322207.63810256316</v>
      </c>
      <c r="R35" s="454">
        <f t="shared" si="39"/>
        <v>323078.34765902098</v>
      </c>
      <c r="S35" s="454">
        <f t="shared" si="39"/>
        <v>323949.05721547874</v>
      </c>
      <c r="T35" s="454">
        <f t="shared" si="39"/>
        <v>323665.21129224211</v>
      </c>
      <c r="U35" s="455">
        <f t="shared" si="39"/>
        <v>323381.36536900542</v>
      </c>
      <c r="V35" s="449">
        <f t="shared" si="12"/>
        <v>1</v>
      </c>
      <c r="W35" s="449">
        <f t="shared" si="13"/>
        <v>0.86845119568688367</v>
      </c>
      <c r="X35" s="449">
        <f t="shared" si="14"/>
        <v>0.84565816582376696</v>
      </c>
      <c r="Y35" s="449">
        <f t="shared" si="15"/>
        <v>0.82286513596065025</v>
      </c>
      <c r="Z35" s="449">
        <f t="shared" si="16"/>
        <v>0.82508878448051803</v>
      </c>
      <c r="AA35" s="449">
        <f t="shared" si="17"/>
        <v>0.82731243300038582</v>
      </c>
      <c r="AB35" s="449">
        <f t="shared" si="18"/>
        <v>0.82658753735361767</v>
      </c>
      <c r="AC35" s="449">
        <f t="shared" si="19"/>
        <v>0.82586264170684953</v>
      </c>
      <c r="AD35" s="654">
        <f t="shared" si="40"/>
        <v>0.85021677179638999</v>
      </c>
      <c r="AF35" s="655">
        <f t="shared" si="41"/>
        <v>1.1761706345631584</v>
      </c>
      <c r="AG35" s="655">
        <f t="shared" si="42"/>
        <v>1.0214467939181755</v>
      </c>
      <c r="AH35" s="655">
        <f t="shared" si="43"/>
        <v>0.99463830152045651</v>
      </c>
      <c r="AI35" s="655">
        <f t="shared" si="44"/>
        <v>0.96782980912273753</v>
      </c>
      <c r="AJ35" s="655">
        <f t="shared" si="45"/>
        <v>0.97044519921339589</v>
      </c>
      <c r="AK35" s="655">
        <f t="shared" si="46"/>
        <v>0.97306058930405426</v>
      </c>
      <c r="AL35" s="655">
        <f t="shared" si="47"/>
        <v>0.97220798833120281</v>
      </c>
      <c r="AM35" s="655">
        <f t="shared" si="48"/>
        <v>0.97135538735835147</v>
      </c>
      <c r="AO35" s="450" t="s">
        <v>1141</v>
      </c>
      <c r="AP35" s="451">
        <v>1.7283270367921819</v>
      </c>
      <c r="AQ35" s="451">
        <v>1.3635224134985264</v>
      </c>
      <c r="AR35" s="451">
        <v>1.2812468302816669</v>
      </c>
      <c r="AS35" s="451">
        <v>1.1987809320242737</v>
      </c>
      <c r="AT35" s="451">
        <v>1.1284948346768437</v>
      </c>
      <c r="AY35" s="508"/>
      <c r="AZ35" s="509"/>
      <c r="BA35" s="509"/>
      <c r="BB35" s="509"/>
    </row>
    <row r="36" spans="4:56" ht="15" x14ac:dyDescent="0.25">
      <c r="D36" s="399" t="str">
        <f t="shared" si="35"/>
        <v xml:space="preserve">Van / LCV </v>
      </c>
      <c r="E36" s="442" t="s">
        <v>1142</v>
      </c>
      <c r="F36" s="443">
        <v>17948.50016215329</v>
      </c>
      <c r="G36" s="443">
        <v>15887.386898316114</v>
      </c>
      <c r="H36" s="444">
        <f t="shared" si="36"/>
        <v>15492.43721685409</v>
      </c>
      <c r="I36" s="443">
        <v>15097.487535392065</v>
      </c>
      <c r="J36" s="444">
        <f t="shared" si="37"/>
        <v>15144.921633117086</v>
      </c>
      <c r="K36" s="443">
        <v>15192.355730842108</v>
      </c>
      <c r="L36" s="444">
        <f t="shared" si="38"/>
        <v>15181.513704920602</v>
      </c>
      <c r="M36" s="445">
        <v>15170.671678999097</v>
      </c>
      <c r="N36" s="453">
        <f t="shared" si="39"/>
        <v>407565.25246796885</v>
      </c>
      <c r="O36" s="454">
        <f t="shared" si="39"/>
        <v>360762.55919824337</v>
      </c>
      <c r="P36" s="454">
        <f t="shared" si="39"/>
        <v>351794.2462371061</v>
      </c>
      <c r="Q36" s="454">
        <f t="shared" si="39"/>
        <v>342825.93327596883</v>
      </c>
      <c r="R36" s="454">
        <f t="shared" si="39"/>
        <v>343903.04221767606</v>
      </c>
      <c r="S36" s="454">
        <f t="shared" si="39"/>
        <v>344980.15115938324</v>
      </c>
      <c r="T36" s="454">
        <f t="shared" si="39"/>
        <v>344733.95604602882</v>
      </c>
      <c r="U36" s="455">
        <f t="shared" si="39"/>
        <v>344487.76093267452</v>
      </c>
      <c r="V36" s="449">
        <f t="shared" si="12"/>
        <v>1</v>
      </c>
      <c r="W36" s="449">
        <f t="shared" si="13"/>
        <v>0.88516515334338086</v>
      </c>
      <c r="X36" s="449">
        <f t="shared" si="14"/>
        <v>0.86316054694764288</v>
      </c>
      <c r="Y36" s="449">
        <f t="shared" si="15"/>
        <v>0.84115594055190468</v>
      </c>
      <c r="Z36" s="449">
        <f t="shared" si="16"/>
        <v>0.84379872949228885</v>
      </c>
      <c r="AA36" s="449">
        <f t="shared" si="17"/>
        <v>0.84644151843267301</v>
      </c>
      <c r="AB36" s="449">
        <f t="shared" si="18"/>
        <v>0.84583745537316635</v>
      </c>
      <c r="AC36" s="449">
        <f t="shared" si="19"/>
        <v>0.84523339231365968</v>
      </c>
      <c r="AD36" s="654">
        <f t="shared" si="40"/>
        <v>0.86756146822679092</v>
      </c>
      <c r="AF36" s="655">
        <f t="shared" si="41"/>
        <v>1.152656078702873</v>
      </c>
      <c r="AG36" s="655">
        <f t="shared" si="42"/>
        <v>1.0202909946572087</v>
      </c>
      <c r="AH36" s="655">
        <f t="shared" si="43"/>
        <v>0.99492725133569715</v>
      </c>
      <c r="AI36" s="655">
        <f t="shared" si="44"/>
        <v>0.96956350801418545</v>
      </c>
      <c r="AJ36" s="655">
        <f t="shared" si="45"/>
        <v>0.97260973475104795</v>
      </c>
      <c r="AK36" s="655">
        <f t="shared" si="46"/>
        <v>0.97565596148791045</v>
      </c>
      <c r="AL36" s="655">
        <f t="shared" si="47"/>
        <v>0.97495968453045023</v>
      </c>
      <c r="AM36" s="655">
        <f t="shared" si="48"/>
        <v>0.97426340757299013</v>
      </c>
      <c r="AO36" s="450" t="s">
        <v>1142</v>
      </c>
      <c r="AP36" s="451">
        <v>1.902863724208097</v>
      </c>
      <c r="AQ36" s="451">
        <v>1.5491487128746424</v>
      </c>
      <c r="AR36" s="451">
        <v>1.4578924137184786</v>
      </c>
      <c r="AS36" s="451">
        <v>1.3765063392938943</v>
      </c>
      <c r="AT36" s="451">
        <v>1.3055185599564534</v>
      </c>
      <c r="AY36" s="508"/>
      <c r="AZ36" s="509"/>
      <c r="BA36" s="509"/>
      <c r="BB36" s="509"/>
    </row>
    <row r="37" spans="4:56" ht="15" x14ac:dyDescent="0.25">
      <c r="D37" s="399" t="str">
        <f t="shared" si="35"/>
        <v xml:space="preserve">Van / LCV </v>
      </c>
      <c r="E37" s="442" t="s">
        <v>1143</v>
      </c>
      <c r="F37" s="443">
        <v>21872.524729385099</v>
      </c>
      <c r="G37" s="443">
        <v>16676.133179824523</v>
      </c>
      <c r="H37" s="444">
        <f t="shared" si="36"/>
        <v>15889.36787814397</v>
      </c>
      <c r="I37" s="443">
        <v>15102.602576463418</v>
      </c>
      <c r="J37" s="444">
        <f t="shared" si="37"/>
        <v>15085.19053170866</v>
      </c>
      <c r="K37" s="443">
        <v>15067.778486953905</v>
      </c>
      <c r="L37" s="444">
        <f t="shared" si="38"/>
        <v>15004.514134513698</v>
      </c>
      <c r="M37" s="445">
        <v>14941.24978207349</v>
      </c>
      <c r="N37" s="453">
        <f t="shared" si="39"/>
        <v>496669.97146876116</v>
      </c>
      <c r="O37" s="454">
        <f t="shared" si="39"/>
        <v>378673.00154450681</v>
      </c>
      <c r="P37" s="454">
        <f t="shared" si="39"/>
        <v>360807.54226292181</v>
      </c>
      <c r="Q37" s="454">
        <f t="shared" si="39"/>
        <v>342942.08298133669</v>
      </c>
      <c r="R37" s="454">
        <f t="shared" si="39"/>
        <v>342546.6992806184</v>
      </c>
      <c r="S37" s="454">
        <f t="shared" si="39"/>
        <v>342151.31557990005</v>
      </c>
      <c r="T37" s="454">
        <f t="shared" si="39"/>
        <v>340714.74140704051</v>
      </c>
      <c r="U37" s="455">
        <f t="shared" si="39"/>
        <v>339278.16723418084</v>
      </c>
      <c r="V37" s="449">
        <f t="shared" si="12"/>
        <v>1</v>
      </c>
      <c r="W37" s="449">
        <f t="shared" si="13"/>
        <v>0.76242378902974217</v>
      </c>
      <c r="X37" s="449">
        <f t="shared" si="14"/>
        <v>0.72645330499030447</v>
      </c>
      <c r="Y37" s="449">
        <f t="shared" si="15"/>
        <v>0.69048282095086677</v>
      </c>
      <c r="Z37" s="449">
        <f t="shared" si="16"/>
        <v>0.68968675168267823</v>
      </c>
      <c r="AA37" s="449">
        <f t="shared" si="17"/>
        <v>0.68889068241448981</v>
      </c>
      <c r="AB37" s="449">
        <f t="shared" si="18"/>
        <v>0.68599827043997219</v>
      </c>
      <c r="AC37" s="449">
        <f t="shared" si="19"/>
        <v>0.68310585846545446</v>
      </c>
      <c r="AD37" s="654">
        <f t="shared" si="40"/>
        <v>0.73364740179819243</v>
      </c>
      <c r="AF37" s="655">
        <f t="shared" si="41"/>
        <v>1.3630526020387574</v>
      </c>
      <c r="AG37" s="655">
        <f t="shared" si="42"/>
        <v>1.0392237294932387</v>
      </c>
      <c r="AH37" s="655">
        <f t="shared" si="43"/>
        <v>0.9901940676266896</v>
      </c>
      <c r="AI37" s="655">
        <f t="shared" si="44"/>
        <v>0.94116440576014049</v>
      </c>
      <c r="AJ37" s="655">
        <f t="shared" si="45"/>
        <v>0.94007932147273299</v>
      </c>
      <c r="AK37" s="655">
        <f t="shared" si="46"/>
        <v>0.9389942371853256</v>
      </c>
      <c r="AL37" s="655">
        <f t="shared" si="47"/>
        <v>0.93505172751729138</v>
      </c>
      <c r="AM37" s="655">
        <f t="shared" si="48"/>
        <v>0.93110921784925693</v>
      </c>
      <c r="AO37" s="450" t="s">
        <v>1143</v>
      </c>
      <c r="AP37" s="451">
        <v>1.2758197830107005</v>
      </c>
      <c r="AQ37" s="451">
        <v>1.1299521054321982</v>
      </c>
      <c r="AR37" s="451">
        <v>1.0618914797279004</v>
      </c>
      <c r="AS37" s="451">
        <v>0.99656622146728668</v>
      </c>
      <c r="AT37" s="451">
        <v>0.93895711684713434</v>
      </c>
      <c r="AY37" s="508"/>
      <c r="AZ37" s="509"/>
      <c r="BA37" s="509"/>
      <c r="BB37" s="509"/>
      <c r="BD37" s="510"/>
    </row>
    <row r="38" spans="4:56" ht="15" x14ac:dyDescent="0.25">
      <c r="D38" s="399" t="str">
        <f t="shared" si="35"/>
        <v xml:space="preserve">Van / LCV </v>
      </c>
      <c r="E38" s="442" t="s">
        <v>1144</v>
      </c>
      <c r="F38" s="443">
        <v>22530.287595513764</v>
      </c>
      <c r="G38" s="443">
        <v>17434.836796625434</v>
      </c>
      <c r="H38" s="444">
        <f t="shared" si="36"/>
        <v>16624.647547676945</v>
      </c>
      <c r="I38" s="443">
        <v>15814.458298728454</v>
      </c>
      <c r="J38" s="444">
        <f t="shared" si="37"/>
        <v>15806.135741797267</v>
      </c>
      <c r="K38" s="443">
        <v>15797.81318486608</v>
      </c>
      <c r="L38" s="444">
        <f t="shared" si="38"/>
        <v>15736.206911870046</v>
      </c>
      <c r="M38" s="445">
        <v>15674.600638874013</v>
      </c>
      <c r="N38" s="453">
        <f t="shared" si="39"/>
        <v>511606.11020881409</v>
      </c>
      <c r="O38" s="454">
        <f t="shared" si="39"/>
        <v>395901.25060911983</v>
      </c>
      <c r="P38" s="454">
        <f t="shared" si="39"/>
        <v>377503.8924559966</v>
      </c>
      <c r="Q38" s="454">
        <f t="shared" si="39"/>
        <v>359106.5343028733</v>
      </c>
      <c r="R38" s="454">
        <f t="shared" si="39"/>
        <v>358917.54998740437</v>
      </c>
      <c r="S38" s="454">
        <f t="shared" si="39"/>
        <v>358728.56567193544</v>
      </c>
      <c r="T38" s="454">
        <f t="shared" si="39"/>
        <v>357329.64230895805</v>
      </c>
      <c r="U38" s="455">
        <f t="shared" si="39"/>
        <v>355930.71894598071</v>
      </c>
      <c r="V38" s="449">
        <f t="shared" si="12"/>
        <v>1</v>
      </c>
      <c r="W38" s="449">
        <f t="shared" si="13"/>
        <v>0.77383995755549351</v>
      </c>
      <c r="X38" s="449">
        <f t="shared" si="14"/>
        <v>0.73787995280571772</v>
      </c>
      <c r="Y38" s="449">
        <f t="shared" si="15"/>
        <v>0.70191994805594193</v>
      </c>
      <c r="Z38" s="449">
        <f t="shared" si="16"/>
        <v>0.70155055388394549</v>
      </c>
      <c r="AA38" s="449">
        <f t="shared" si="17"/>
        <v>0.70118115971194894</v>
      </c>
      <c r="AB38" s="449">
        <f t="shared" si="18"/>
        <v>0.69844678391959114</v>
      </c>
      <c r="AC38" s="449">
        <f t="shared" si="19"/>
        <v>0.69571240812723323</v>
      </c>
      <c r="AD38" s="654">
        <f t="shared" si="40"/>
        <v>0.74507195375567292</v>
      </c>
      <c r="AF38" s="655">
        <f t="shared" si="41"/>
        <v>1.3421522511474431</v>
      </c>
      <c r="AG38" s="655">
        <f t="shared" si="42"/>
        <v>1.0386110410609475</v>
      </c>
      <c r="AH38" s="655">
        <f t="shared" si="43"/>
        <v>0.99034723973476313</v>
      </c>
      <c r="AI38" s="655">
        <f t="shared" si="44"/>
        <v>0.94208343840857878</v>
      </c>
      <c r="AJ38" s="655">
        <f t="shared" si="45"/>
        <v>0.94158765518907295</v>
      </c>
      <c r="AK38" s="655">
        <f t="shared" si="46"/>
        <v>0.94109187196956712</v>
      </c>
      <c r="AL38" s="655">
        <f t="shared" si="47"/>
        <v>0.93742192334437102</v>
      </c>
      <c r="AM38" s="655">
        <f t="shared" si="48"/>
        <v>0.9337519747191747</v>
      </c>
      <c r="AO38" s="450" t="s">
        <v>1144</v>
      </c>
      <c r="AP38" s="451">
        <v>1.3726349581761412</v>
      </c>
      <c r="AQ38" s="451">
        <v>1.2547494611459762</v>
      </c>
      <c r="AR38" s="451">
        <v>1.1811373360677029</v>
      </c>
      <c r="AS38" s="451">
        <v>1.1171068754070992</v>
      </c>
      <c r="AT38" s="451">
        <v>1.0596566745051081</v>
      </c>
      <c r="AX38" s="511">
        <v>1.1636030437253695</v>
      </c>
      <c r="AY38" s="508"/>
      <c r="AZ38" s="509"/>
      <c r="BA38" s="509"/>
      <c r="BB38" s="509"/>
    </row>
    <row r="39" spans="4:56" ht="15" x14ac:dyDescent="0.25">
      <c r="D39" s="399" t="str">
        <f t="shared" si="35"/>
        <v xml:space="preserve">Van / LCV </v>
      </c>
      <c r="E39" s="442" t="s">
        <v>1117</v>
      </c>
      <c r="F39" s="443">
        <v>30266.705966079498</v>
      </c>
      <c r="G39" s="443">
        <v>20700.397697957917</v>
      </c>
      <c r="H39" s="444">
        <f t="shared" si="36"/>
        <v>19045.56947060291</v>
      </c>
      <c r="I39" s="443">
        <v>17390.7412432479</v>
      </c>
      <c r="J39" s="444">
        <f t="shared" si="37"/>
        <v>17563.206557000587</v>
      </c>
      <c r="K39" s="443">
        <v>17735.671870753275</v>
      </c>
      <c r="L39" s="444">
        <f t="shared" si="38"/>
        <v>17824.297653410675</v>
      </c>
      <c r="M39" s="445">
        <v>17912.923436068075</v>
      </c>
      <c r="N39" s="453">
        <f t="shared" si="39"/>
        <v>687280.69459810818</v>
      </c>
      <c r="O39" s="454">
        <f t="shared" si="39"/>
        <v>470053.91747136478</v>
      </c>
      <c r="P39" s="454">
        <f t="shared" si="39"/>
        <v>432476.93453798129</v>
      </c>
      <c r="Q39" s="454">
        <f t="shared" si="39"/>
        <v>394899.95160459774</v>
      </c>
      <c r="R39" s="454">
        <f t="shared" si="39"/>
        <v>398816.20469017857</v>
      </c>
      <c r="S39" s="454">
        <f t="shared" si="39"/>
        <v>402732.45777575945</v>
      </c>
      <c r="T39" s="454">
        <f t="shared" si="39"/>
        <v>404744.92618022813</v>
      </c>
      <c r="U39" s="455">
        <f t="shared" si="39"/>
        <v>406757.3945846968</v>
      </c>
      <c r="V39" s="449">
        <f t="shared" si="12"/>
        <v>1</v>
      </c>
      <c r="W39" s="449">
        <f t="shared" si="13"/>
        <v>0.6839329566011334</v>
      </c>
      <c r="X39" s="449">
        <f t="shared" si="14"/>
        <v>0.62925808616066969</v>
      </c>
      <c r="Y39" s="449">
        <f t="shared" si="15"/>
        <v>0.57458321572020588</v>
      </c>
      <c r="Z39" s="449">
        <f t="shared" si="16"/>
        <v>0.58028140150712215</v>
      </c>
      <c r="AA39" s="449">
        <f t="shared" si="17"/>
        <v>0.58597958729403843</v>
      </c>
      <c r="AB39" s="449">
        <f t="shared" si="18"/>
        <v>0.58890774811724544</v>
      </c>
      <c r="AC39" s="449">
        <f t="shared" si="19"/>
        <v>0.59183590894045246</v>
      </c>
      <c r="AD39" s="654">
        <f t="shared" si="40"/>
        <v>0.64019306024876244</v>
      </c>
      <c r="AF39" s="655">
        <f t="shared" si="41"/>
        <v>1.5620288036415544</v>
      </c>
      <c r="AG39" s="655">
        <f t="shared" si="42"/>
        <v>1.0683229779706995</v>
      </c>
      <c r="AH39" s="655">
        <f t="shared" si="43"/>
        <v>0.98291925550732506</v>
      </c>
      <c r="AI39" s="655">
        <f t="shared" si="44"/>
        <v>0.89751553304395038</v>
      </c>
      <c r="AJ39" s="655">
        <f t="shared" si="45"/>
        <v>0.90641626337161452</v>
      </c>
      <c r="AK39" s="655">
        <f t="shared" si="46"/>
        <v>0.91531699369927866</v>
      </c>
      <c r="AL39" s="655">
        <f t="shared" si="47"/>
        <v>0.91989086524682284</v>
      </c>
      <c r="AM39" s="655">
        <f t="shared" si="48"/>
        <v>0.92446473679436691</v>
      </c>
      <c r="AO39" s="450" t="s">
        <v>1117</v>
      </c>
      <c r="AP39" s="451">
        <v>0.71204570298567482</v>
      </c>
      <c r="AQ39" s="451">
        <v>0.65747551719774433</v>
      </c>
      <c r="AR39" s="451">
        <v>0.61881416451317972</v>
      </c>
      <c r="AS39" s="451">
        <v>0.58917428402300132</v>
      </c>
      <c r="AT39" s="451">
        <v>0.55797401529936719</v>
      </c>
      <c r="AX39" s="511">
        <v>2015</v>
      </c>
      <c r="AY39" s="508"/>
      <c r="AZ39" s="509"/>
      <c r="BA39" s="509"/>
      <c r="BB39" s="509"/>
    </row>
    <row r="40" spans="4:56" ht="15" x14ac:dyDescent="0.25">
      <c r="D40" s="399" t="str">
        <f t="shared" si="35"/>
        <v xml:space="preserve">Van / LCV </v>
      </c>
      <c r="E40" s="442" t="s">
        <v>1116</v>
      </c>
      <c r="F40" s="443">
        <v>89397.233323383392</v>
      </c>
      <c r="G40" s="443">
        <v>35742.45176358601</v>
      </c>
      <c r="H40" s="444">
        <f t="shared" si="36"/>
        <v>27438.425753122989</v>
      </c>
      <c r="I40" s="443">
        <v>19134.399742659967</v>
      </c>
      <c r="J40" s="444">
        <f t="shared" si="37"/>
        <v>18221.158014073364</v>
      </c>
      <c r="K40" s="443">
        <v>17307.916285486757</v>
      </c>
      <c r="L40" s="444">
        <f t="shared" si="38"/>
        <v>17072.587033819684</v>
      </c>
      <c r="M40" s="445">
        <v>16837.25778215261</v>
      </c>
      <c r="N40" s="453">
        <f t="shared" si="39"/>
        <v>2029986.1069289211</v>
      </c>
      <c r="O40" s="454">
        <f t="shared" si="39"/>
        <v>811621.09620542661</v>
      </c>
      <c r="P40" s="454">
        <f t="shared" si="39"/>
        <v>623057.57129366533</v>
      </c>
      <c r="Q40" s="454">
        <f t="shared" si="39"/>
        <v>434494.04638190416</v>
      </c>
      <c r="R40" s="454">
        <f t="shared" si="39"/>
        <v>413756.62585578545</v>
      </c>
      <c r="S40" s="454">
        <f t="shared" si="39"/>
        <v>393019.20532966667</v>
      </c>
      <c r="T40" s="454">
        <f t="shared" si="39"/>
        <v>387675.47047704476</v>
      </c>
      <c r="U40" s="455">
        <f t="shared" si="39"/>
        <v>382331.73562442278</v>
      </c>
      <c r="V40" s="449">
        <f t="shared" si="12"/>
        <v>1</v>
      </c>
      <c r="W40" s="449">
        <f t="shared" si="13"/>
        <v>0.39981608417670073</v>
      </c>
      <c r="X40" s="449">
        <f t="shared" si="14"/>
        <v>0.3069270125381609</v>
      </c>
      <c r="Y40" s="449">
        <f t="shared" si="15"/>
        <v>0.21403794089962103</v>
      </c>
      <c r="Z40" s="449">
        <f t="shared" si="16"/>
        <v>0.20382239289397902</v>
      </c>
      <c r="AA40" s="449">
        <f t="shared" si="17"/>
        <v>0.19360684488833696</v>
      </c>
      <c r="AB40" s="449">
        <f t="shared" si="18"/>
        <v>0.19097444517171711</v>
      </c>
      <c r="AC40" s="449">
        <f t="shared" si="19"/>
        <v>0.18834204545509725</v>
      </c>
      <c r="AD40" s="654">
        <f t="shared" si="40"/>
        <v>0.3255048268658669</v>
      </c>
      <c r="AF40" s="655">
        <f t="shared" si="41"/>
        <v>3.0721510634067406</v>
      </c>
      <c r="AG40" s="655">
        <f t="shared" si="42"/>
        <v>1.2282954081705701</v>
      </c>
      <c r="AH40" s="655">
        <f t="shared" si="43"/>
        <v>0.94292614795736507</v>
      </c>
      <c r="AI40" s="655">
        <f t="shared" si="44"/>
        <v>0.65755688774415988</v>
      </c>
      <c r="AJ40" s="655">
        <f t="shared" si="45"/>
        <v>0.62617318107534414</v>
      </c>
      <c r="AK40" s="655">
        <f t="shared" si="46"/>
        <v>0.5947894744065283</v>
      </c>
      <c r="AL40" s="655">
        <f t="shared" si="47"/>
        <v>0.58670234481780303</v>
      </c>
      <c r="AM40" s="655">
        <f t="shared" si="48"/>
        <v>0.57861521522907766</v>
      </c>
      <c r="AO40" s="450" t="s">
        <v>1116</v>
      </c>
      <c r="AP40" s="451">
        <v>1.4019884160257075</v>
      </c>
      <c r="AQ40" s="451">
        <v>1.2516481278662279</v>
      </c>
      <c r="AR40" s="451">
        <v>1.1410975435913393</v>
      </c>
      <c r="AS40" s="451">
        <v>1.0541211751644466</v>
      </c>
      <c r="AT40" s="451">
        <v>0.97008183815697979</v>
      </c>
      <c r="AY40" s="508"/>
      <c r="AZ40" s="509"/>
      <c r="BA40" s="509"/>
      <c r="BB40" s="509"/>
    </row>
    <row r="41" spans="4:56" ht="15" x14ac:dyDescent="0.25">
      <c r="D41" s="399" t="str">
        <f t="shared" si="35"/>
        <v xml:space="preserve">Van / LCV </v>
      </c>
      <c r="E41" s="442" t="s">
        <v>1145</v>
      </c>
      <c r="F41" s="443">
        <v>93147.376244808911</v>
      </c>
      <c r="G41" s="443">
        <v>37446.557579359069</v>
      </c>
      <c r="H41" s="444">
        <f t="shared" si="36"/>
        <v>28874.627869843178</v>
      </c>
      <c r="I41" s="443">
        <v>20302.698160327291</v>
      </c>
      <c r="J41" s="444">
        <f t="shared" si="37"/>
        <v>19342.312720809401</v>
      </c>
      <c r="K41" s="443">
        <v>18381.927281291511</v>
      </c>
      <c r="L41" s="444">
        <f t="shared" si="38"/>
        <v>18103.33880463173</v>
      </c>
      <c r="M41" s="445">
        <v>17824.750327971949</v>
      </c>
      <c r="N41" s="453">
        <f t="shared" si="39"/>
        <v>2115142.4115088796</v>
      </c>
      <c r="O41" s="454">
        <f t="shared" si="39"/>
        <v>850317.04911307932</v>
      </c>
      <c r="P41" s="454">
        <f t="shared" si="39"/>
        <v>655670.10565630661</v>
      </c>
      <c r="Q41" s="454">
        <f t="shared" si="39"/>
        <v>461023.16219953395</v>
      </c>
      <c r="R41" s="454">
        <f t="shared" si="39"/>
        <v>439215.22668473097</v>
      </c>
      <c r="S41" s="454">
        <f t="shared" si="39"/>
        <v>417407.29116992804</v>
      </c>
      <c r="T41" s="454">
        <f t="shared" si="39"/>
        <v>411081.24822490633</v>
      </c>
      <c r="U41" s="455">
        <f t="shared" si="39"/>
        <v>404755.20527988463</v>
      </c>
      <c r="V41" s="449">
        <f t="shared" si="12"/>
        <v>1</v>
      </c>
      <c r="W41" s="449">
        <f t="shared" si="13"/>
        <v>0.40201408873764127</v>
      </c>
      <c r="X41" s="449">
        <f t="shared" si="14"/>
        <v>0.30998863343134003</v>
      </c>
      <c r="Y41" s="449">
        <f t="shared" si="15"/>
        <v>0.21796317812503879</v>
      </c>
      <c r="Z41" s="449">
        <f t="shared" si="16"/>
        <v>0.20765279174342116</v>
      </c>
      <c r="AA41" s="449">
        <f t="shared" si="17"/>
        <v>0.19734240536180356</v>
      </c>
      <c r="AB41" s="449">
        <f t="shared" si="18"/>
        <v>0.19435156989342067</v>
      </c>
      <c r="AC41" s="449">
        <f t="shared" si="19"/>
        <v>0.19136073442503776</v>
      </c>
      <c r="AD41" s="654">
        <f t="shared" si="40"/>
        <v>0.3283937244925994</v>
      </c>
      <c r="AF41" s="655">
        <f t="shared" si="41"/>
        <v>3.0451251818075948</v>
      </c>
      <c r="AG41" s="655">
        <f t="shared" si="42"/>
        <v>1.2241832250564244</v>
      </c>
      <c r="AH41" s="655">
        <f t="shared" si="43"/>
        <v>0.94395419373589717</v>
      </c>
      <c r="AI41" s="655">
        <f t="shared" si="44"/>
        <v>0.66372516241536994</v>
      </c>
      <c r="AJ41" s="655">
        <f t="shared" si="45"/>
        <v>0.63232874521054006</v>
      </c>
      <c r="AK41" s="655">
        <f t="shared" si="46"/>
        <v>0.60093232800571017</v>
      </c>
      <c r="AL41" s="655">
        <f t="shared" si="47"/>
        <v>0.59182485960629416</v>
      </c>
      <c r="AM41" s="655">
        <f t="shared" si="48"/>
        <v>0.58271739120687804</v>
      </c>
      <c r="AO41" s="450" t="s">
        <v>1145</v>
      </c>
      <c r="AP41" s="451">
        <v>1.1881061749832973</v>
      </c>
      <c r="AQ41" s="451">
        <v>0.99615390527877989</v>
      </c>
      <c r="AR41" s="451">
        <v>0.91651569058773064</v>
      </c>
      <c r="AS41" s="451">
        <v>0.85419401197362499</v>
      </c>
      <c r="AT41" s="451">
        <v>0.79287547432820638</v>
      </c>
      <c r="AY41" s="508"/>
      <c r="AZ41" s="509"/>
      <c r="BA41" s="509"/>
      <c r="BB41" s="509"/>
    </row>
    <row r="42" spans="4:56" ht="15" x14ac:dyDescent="0.25">
      <c r="D42" s="399" t="str">
        <f t="shared" si="35"/>
        <v xml:space="preserve">Van / LCV </v>
      </c>
      <c r="E42" s="442" t="s">
        <v>1146</v>
      </c>
      <c r="F42" s="443">
        <v>63892.000362104511</v>
      </c>
      <c r="G42" s="443">
        <v>28828.821424319947</v>
      </c>
      <c r="H42" s="444">
        <f t="shared" si="36"/>
        <v>23564.877441733282</v>
      </c>
      <c r="I42" s="443">
        <v>18300.933459146618</v>
      </c>
      <c r="J42" s="444">
        <f t="shared" si="37"/>
        <v>17735.79136497252</v>
      </c>
      <c r="K42" s="443">
        <v>17170.649270798422</v>
      </c>
      <c r="L42" s="444">
        <f t="shared" si="38"/>
        <v>16943.796547064114</v>
      </c>
      <c r="M42" s="445">
        <v>16716.943823329806</v>
      </c>
      <c r="N42" s="453">
        <f t="shared" si="39"/>
        <v>1450826.4770319744</v>
      </c>
      <c r="O42" s="454">
        <f t="shared" si="39"/>
        <v>654629.9565984091</v>
      </c>
      <c r="P42" s="454">
        <f t="shared" si="39"/>
        <v>535099.04098663956</v>
      </c>
      <c r="Q42" s="454">
        <f t="shared" si="39"/>
        <v>415568.12537486979</v>
      </c>
      <c r="R42" s="454">
        <f t="shared" si="39"/>
        <v>402735.17118864605</v>
      </c>
      <c r="S42" s="454">
        <f t="shared" si="39"/>
        <v>389902.21700242232</v>
      </c>
      <c r="T42" s="454">
        <f t="shared" si="39"/>
        <v>384750.9627590857</v>
      </c>
      <c r="U42" s="455">
        <f t="shared" si="39"/>
        <v>379599.70851574908</v>
      </c>
      <c r="V42" s="449">
        <f t="shared" si="12"/>
        <v>1</v>
      </c>
      <c r="W42" s="449">
        <f t="shared" si="13"/>
        <v>0.45121175203365266</v>
      </c>
      <c r="X42" s="449">
        <f t="shared" si="14"/>
        <v>0.36882359776154439</v>
      </c>
      <c r="Y42" s="449">
        <f t="shared" si="15"/>
        <v>0.28643544348943611</v>
      </c>
      <c r="Z42" s="449">
        <f t="shared" si="16"/>
        <v>0.27759017192224167</v>
      </c>
      <c r="AA42" s="449">
        <f t="shared" si="17"/>
        <v>0.26874490035504728</v>
      </c>
      <c r="AB42" s="449">
        <f t="shared" si="18"/>
        <v>0.26519433498773004</v>
      </c>
      <c r="AC42" s="449">
        <f t="shared" si="19"/>
        <v>0.26164376962041286</v>
      </c>
      <c r="AD42" s="654">
        <f t="shared" si="40"/>
        <v>0.38530122861595828</v>
      </c>
      <c r="AF42" s="655">
        <f t="shared" si="41"/>
        <v>2.5953719472738332</v>
      </c>
      <c r="AG42" s="655">
        <f t="shared" si="42"/>
        <v>1.171062323508419</v>
      </c>
      <c r="AH42" s="655">
        <f t="shared" si="43"/>
        <v>0.9572344191229204</v>
      </c>
      <c r="AI42" s="655">
        <f t="shared" si="44"/>
        <v>0.74340651473742181</v>
      </c>
      <c r="AJ42" s="655">
        <f t="shared" si="45"/>
        <v>0.72044974504590653</v>
      </c>
      <c r="AK42" s="655">
        <f t="shared" si="46"/>
        <v>0.69749297535439125</v>
      </c>
      <c r="AL42" s="655">
        <f t="shared" si="47"/>
        <v>0.68827793760309408</v>
      </c>
      <c r="AM42" s="655">
        <f t="shared" si="48"/>
        <v>0.67906289985179713</v>
      </c>
      <c r="AO42" s="450" t="s">
        <v>1146</v>
      </c>
      <c r="AP42" s="451">
        <v>0.97422393394088724</v>
      </c>
      <c r="AQ42" s="451">
        <v>0.88326110925176804</v>
      </c>
      <c r="AR42" s="451">
        <v>0.81728184856288022</v>
      </c>
      <c r="AS42" s="451">
        <v>0.76585410265675047</v>
      </c>
      <c r="AT42" s="451">
        <v>0.71457498798525998</v>
      </c>
      <c r="AY42" s="508"/>
      <c r="AZ42" s="509"/>
      <c r="BA42" s="509"/>
      <c r="BB42" s="509"/>
    </row>
    <row r="43" spans="4:56" ht="15" x14ac:dyDescent="0.25">
      <c r="D43" s="399" t="str">
        <f t="shared" si="35"/>
        <v xml:space="preserve">Van / LCV </v>
      </c>
      <c r="E43" s="442" t="s">
        <v>1115</v>
      </c>
      <c r="F43" s="457">
        <v>13192.267722867144</v>
      </c>
      <c r="G43" s="457">
        <v>13865.866014584546</v>
      </c>
      <c r="H43" s="444">
        <f t="shared" si="36"/>
        <v>14011.820937842185</v>
      </c>
      <c r="I43" s="457">
        <v>14157.775861099826</v>
      </c>
      <c r="J43" s="444">
        <f t="shared" si="37"/>
        <v>14366.961685106786</v>
      </c>
      <c r="K43" s="457">
        <v>14576.147509113745</v>
      </c>
      <c r="L43" s="444">
        <f t="shared" si="38"/>
        <v>14667.876634420591</v>
      </c>
      <c r="M43" s="458">
        <v>14759.605759727438</v>
      </c>
      <c r="N43" s="453">
        <f t="shared" si="39"/>
        <v>299563.18781626469</v>
      </c>
      <c r="O43" s="454">
        <f t="shared" si="39"/>
        <v>314858.90920499049</v>
      </c>
      <c r="P43" s="454">
        <f t="shared" si="39"/>
        <v>318173.17806361499</v>
      </c>
      <c r="Q43" s="454">
        <f t="shared" si="39"/>
        <v>321487.44692223961</v>
      </c>
      <c r="R43" s="454">
        <f t="shared" si="39"/>
        <v>326237.53035004</v>
      </c>
      <c r="S43" s="454">
        <f t="shared" si="39"/>
        <v>330987.61377784034</v>
      </c>
      <c r="T43" s="454">
        <f t="shared" si="39"/>
        <v>333070.55128106324</v>
      </c>
      <c r="U43" s="455">
        <f t="shared" si="39"/>
        <v>335153.48878428608</v>
      </c>
      <c r="V43" s="449">
        <f t="shared" si="12"/>
        <v>1</v>
      </c>
      <c r="W43" s="449">
        <f t="shared" si="13"/>
        <v>1.051060083517696</v>
      </c>
      <c r="X43" s="449">
        <f t="shared" si="14"/>
        <v>1.0621237555355587</v>
      </c>
      <c r="Y43" s="449">
        <f t="shared" si="15"/>
        <v>1.0731874275534217</v>
      </c>
      <c r="Z43" s="449">
        <f t="shared" si="16"/>
        <v>1.0890441269777642</v>
      </c>
      <c r="AA43" s="449">
        <f t="shared" si="17"/>
        <v>1.1049008264021067</v>
      </c>
      <c r="AB43" s="449">
        <f t="shared" si="18"/>
        <v>1.1118540756261082</v>
      </c>
      <c r="AC43" s="449">
        <f t="shared" si="19"/>
        <v>1.1188073248501098</v>
      </c>
      <c r="AD43" s="654">
        <f t="shared" si="40"/>
        <v>1.0599110211319864</v>
      </c>
      <c r="AF43" s="655">
        <f t="shared" si="41"/>
        <v>0.9434754239388875</v>
      </c>
      <c r="AG43" s="655">
        <f t="shared" si="42"/>
        <v>0.99164935788210062</v>
      </c>
      <c r="AH43" s="655">
        <f t="shared" si="43"/>
        <v>1.0020876605294746</v>
      </c>
      <c r="AI43" s="655">
        <f t="shared" si="44"/>
        <v>1.0125259631768486</v>
      </c>
      <c r="AJ43" s="655">
        <f t="shared" si="45"/>
        <v>1.0274863693885017</v>
      </c>
      <c r="AK43" s="655">
        <f t="shared" si="46"/>
        <v>1.0424467756001548</v>
      </c>
      <c r="AL43" s="655">
        <f t="shared" si="47"/>
        <v>1.0490069953595222</v>
      </c>
      <c r="AM43" s="655">
        <f t="shared" si="48"/>
        <v>1.05556721511889</v>
      </c>
      <c r="AO43" s="450" t="s">
        <v>1115</v>
      </c>
      <c r="AP43" s="459">
        <v>3.3385897630365569</v>
      </c>
      <c r="AQ43" s="459">
        <v>2.7334614100613899</v>
      </c>
      <c r="AR43" s="459">
        <v>2.4198016848800807</v>
      </c>
      <c r="AS43" s="459">
        <v>2.1506862151085344</v>
      </c>
      <c r="AT43" s="459">
        <v>1.9649052018216842</v>
      </c>
      <c r="AY43" s="508"/>
      <c r="AZ43" s="509"/>
      <c r="BA43" s="509"/>
      <c r="BB43" s="509"/>
    </row>
    <row r="44" spans="4:56" ht="15" x14ac:dyDescent="0.2">
      <c r="D44" s="399" t="str">
        <f t="shared" si="35"/>
        <v xml:space="preserve">Van / LCV </v>
      </c>
      <c r="E44" s="460"/>
      <c r="F44" s="461"/>
      <c r="G44" s="461"/>
      <c r="H44" s="462"/>
      <c r="I44" s="461"/>
      <c r="J44" s="461"/>
      <c r="K44" s="461"/>
      <c r="L44" s="461"/>
      <c r="M44" s="463"/>
      <c r="N44" s="464"/>
      <c r="O44" s="465"/>
      <c r="P44" s="465"/>
      <c r="Q44" s="465"/>
      <c r="R44" s="465"/>
      <c r="S44" s="465"/>
      <c r="T44" s="465"/>
      <c r="U44" s="466"/>
      <c r="V44" s="449"/>
      <c r="W44" s="449"/>
      <c r="X44" s="449"/>
      <c r="Y44" s="449"/>
      <c r="Z44" s="449"/>
      <c r="AA44" s="449"/>
      <c r="AB44" s="449"/>
      <c r="AC44" s="449"/>
      <c r="AD44" s="654"/>
      <c r="AF44" s="655"/>
      <c r="AG44" s="655"/>
      <c r="AH44" s="655"/>
      <c r="AI44" s="655"/>
      <c r="AJ44" s="655"/>
      <c r="AK44" s="655"/>
      <c r="AL44" s="655"/>
      <c r="AM44" s="655"/>
      <c r="AO44" s="467"/>
      <c r="AR44" s="468"/>
      <c r="AS44" s="468"/>
    </row>
    <row r="45" spans="4:56" ht="15" x14ac:dyDescent="0.2">
      <c r="D45" s="399" t="str">
        <f t="shared" si="35"/>
        <v xml:space="preserve">Van / LCV </v>
      </c>
      <c r="E45" s="414" t="s">
        <v>1128</v>
      </c>
      <c r="F45" s="415" t="s">
        <v>1129</v>
      </c>
      <c r="G45" s="416">
        <v>0.08</v>
      </c>
      <c r="H45" s="505"/>
      <c r="I45" s="418"/>
      <c r="J45" s="418"/>
      <c r="K45" s="418"/>
      <c r="L45" s="418"/>
      <c r="M45" s="419"/>
      <c r="N45" s="512"/>
      <c r="O45" s="423"/>
      <c r="P45" s="423"/>
      <c r="Q45" s="423"/>
      <c r="R45" s="423"/>
      <c r="S45" s="423"/>
      <c r="T45" s="423"/>
      <c r="U45" s="424"/>
      <c r="V45" s="449"/>
      <c r="W45" s="449"/>
      <c r="X45" s="449"/>
      <c r="Y45" s="449"/>
      <c r="Z45" s="449"/>
      <c r="AA45" s="449"/>
      <c r="AB45" s="449"/>
      <c r="AC45" s="449"/>
      <c r="AD45" s="654"/>
      <c r="AF45" s="655"/>
      <c r="AG45" s="655"/>
      <c r="AH45" s="655"/>
      <c r="AI45" s="655"/>
      <c r="AJ45" s="655"/>
      <c r="AK45" s="655"/>
      <c r="AL45" s="655"/>
      <c r="AM45" s="655"/>
      <c r="AO45" s="425" t="s">
        <v>1131</v>
      </c>
      <c r="AP45" s="399" t="s">
        <v>1132</v>
      </c>
      <c r="AR45" s="468"/>
      <c r="AS45" s="468"/>
    </row>
    <row r="46" spans="4:56" ht="15" x14ac:dyDescent="0.2">
      <c r="D46" s="399" t="str">
        <f>E46</f>
        <v>Small Rigid Truck</v>
      </c>
      <c r="E46" s="426" t="s">
        <v>1120</v>
      </c>
      <c r="F46" s="427">
        <v>2010</v>
      </c>
      <c r="G46" s="427">
        <v>2020</v>
      </c>
      <c r="H46" s="471"/>
      <c r="I46" s="427">
        <v>2030</v>
      </c>
      <c r="J46" s="427"/>
      <c r="K46" s="427">
        <v>2040</v>
      </c>
      <c r="L46" s="427"/>
      <c r="M46" s="430">
        <v>2050</v>
      </c>
      <c r="N46" s="431" t="e">
        <f>#REF!</f>
        <v>#REF!</v>
      </c>
      <c r="O46" s="432" t="e">
        <f>#REF!</f>
        <v>#REF!</v>
      </c>
      <c r="P46" s="432" t="e">
        <f>#REF!</f>
        <v>#REF!</v>
      </c>
      <c r="Q46" s="432" t="e">
        <f>#REF!</f>
        <v>#REF!</v>
      </c>
      <c r="R46" s="432" t="e">
        <f>#REF!</f>
        <v>#REF!</v>
      </c>
      <c r="S46" s="432" t="e">
        <f>#REF!</f>
        <v>#REF!</v>
      </c>
      <c r="T46" s="432" t="e">
        <f>#REF!</f>
        <v>#REF!</v>
      </c>
      <c r="U46" s="433" t="e">
        <f>#REF!</f>
        <v>#REF!</v>
      </c>
      <c r="V46" s="449"/>
      <c r="W46" s="449"/>
      <c r="X46" s="449"/>
      <c r="Y46" s="449"/>
      <c r="Z46" s="449"/>
      <c r="AA46" s="449"/>
      <c r="AB46" s="449"/>
      <c r="AC46" s="449"/>
      <c r="AD46" s="654"/>
      <c r="AF46" s="655"/>
      <c r="AG46" s="655"/>
      <c r="AH46" s="655"/>
      <c r="AI46" s="655"/>
      <c r="AJ46" s="655"/>
      <c r="AK46" s="655"/>
      <c r="AL46" s="655"/>
      <c r="AM46" s="655"/>
      <c r="AO46" s="427" t="s">
        <v>1148</v>
      </c>
      <c r="AP46" s="427">
        <v>2010</v>
      </c>
      <c r="AQ46" s="427">
        <v>2020</v>
      </c>
      <c r="AR46" s="427">
        <v>2030</v>
      </c>
      <c r="AS46" s="427">
        <v>2040</v>
      </c>
      <c r="AT46" s="427">
        <v>2050</v>
      </c>
    </row>
    <row r="47" spans="4:56" ht="15" x14ac:dyDescent="0.2">
      <c r="D47" s="399" t="str">
        <f>D46</f>
        <v>Small Rigid Truck</v>
      </c>
      <c r="E47" s="434" t="s">
        <v>1135</v>
      </c>
      <c r="F47" s="435" t="s">
        <v>878</v>
      </c>
      <c r="G47" s="435" t="s">
        <v>878</v>
      </c>
      <c r="H47" s="506"/>
      <c r="I47" s="435" t="s">
        <v>878</v>
      </c>
      <c r="J47" s="435"/>
      <c r="K47" s="435" t="s">
        <v>878</v>
      </c>
      <c r="L47" s="435"/>
      <c r="M47" s="438" t="s">
        <v>878</v>
      </c>
      <c r="N47" s="439" t="s">
        <v>1137</v>
      </c>
      <c r="O47" s="412" t="s">
        <v>1137</v>
      </c>
      <c r="P47" s="412" t="s">
        <v>1137</v>
      </c>
      <c r="Q47" s="412" t="s">
        <v>1137</v>
      </c>
      <c r="R47" s="412" t="s">
        <v>1137</v>
      </c>
      <c r="S47" s="412" t="s">
        <v>1137</v>
      </c>
      <c r="T47" s="412" t="s">
        <v>1137</v>
      </c>
      <c r="U47" s="413" t="s">
        <v>1137</v>
      </c>
      <c r="V47" s="449"/>
      <c r="W47" s="449"/>
      <c r="X47" s="449"/>
      <c r="Y47" s="449"/>
      <c r="Z47" s="449"/>
      <c r="AA47" s="449"/>
      <c r="AB47" s="449"/>
      <c r="AC47" s="449"/>
      <c r="AD47" s="654"/>
      <c r="AF47" s="655"/>
      <c r="AG47" s="655"/>
      <c r="AH47" s="655"/>
      <c r="AI47" s="655"/>
      <c r="AJ47" s="655"/>
      <c r="AK47" s="655"/>
      <c r="AL47" s="655"/>
      <c r="AM47" s="655"/>
      <c r="AO47" s="440" t="s">
        <v>1139</v>
      </c>
      <c r="AP47" s="441" t="s">
        <v>1140</v>
      </c>
      <c r="AQ47" s="441" t="s">
        <v>1140</v>
      </c>
      <c r="AR47" s="441" t="s">
        <v>1140</v>
      </c>
      <c r="AS47" s="441" t="s">
        <v>1140</v>
      </c>
      <c r="AT47" s="441" t="s">
        <v>1140</v>
      </c>
    </row>
    <row r="48" spans="4:56" ht="15" x14ac:dyDescent="0.2">
      <c r="D48" s="399" t="str">
        <f>D47</f>
        <v>Small Rigid Truck</v>
      </c>
      <c r="E48" s="442" t="s">
        <v>1111</v>
      </c>
      <c r="F48" s="443">
        <v>29319.790828640387</v>
      </c>
      <c r="G48" s="443">
        <v>35280.157533348094</v>
      </c>
      <c r="H48" s="444">
        <f>AVERAGE(G48,I48)</f>
        <v>36396.413713979826</v>
      </c>
      <c r="I48" s="443">
        <v>37512.669894611565</v>
      </c>
      <c r="J48" s="444">
        <f>AVERAGE(I48,K48)</f>
        <v>38512.295901471109</v>
      </c>
      <c r="K48" s="443">
        <v>39511.921908330653</v>
      </c>
      <c r="L48" s="444">
        <f>AVERAGE(K48,M48)</f>
        <v>40168.269988600499</v>
      </c>
      <c r="M48" s="445">
        <v>40824.618068870353</v>
      </c>
      <c r="N48" s="453">
        <f t="shared" ref="N48:U56" si="49">F48*$E$2*$O$2</f>
        <v>665778.63573137915</v>
      </c>
      <c r="O48" s="454">
        <f t="shared" si="49"/>
        <v>801123.55808473728</v>
      </c>
      <c r="P48" s="454">
        <f t="shared" si="49"/>
        <v>826470.92571812973</v>
      </c>
      <c r="Q48" s="454">
        <f t="shared" si="49"/>
        <v>851818.2933515223</v>
      </c>
      <c r="R48" s="454">
        <f t="shared" si="49"/>
        <v>874517.283360634</v>
      </c>
      <c r="S48" s="454">
        <f t="shared" si="49"/>
        <v>897216.2733697457</v>
      </c>
      <c r="T48" s="454">
        <f t="shared" si="49"/>
        <v>912120.28588473646</v>
      </c>
      <c r="U48" s="455">
        <f t="shared" si="49"/>
        <v>927024.29839972744</v>
      </c>
      <c r="V48" s="449">
        <f t="shared" si="12"/>
        <v>1</v>
      </c>
      <c r="W48" s="449">
        <f t="shared" si="13"/>
        <v>1.2032881728093863</v>
      </c>
      <c r="X48" s="449">
        <f t="shared" si="14"/>
        <v>1.2413599376168398</v>
      </c>
      <c r="Y48" s="449">
        <f t="shared" si="15"/>
        <v>1.2794317024242938</v>
      </c>
      <c r="Z48" s="449">
        <f t="shared" si="16"/>
        <v>1.3135256020943789</v>
      </c>
      <c r="AA48" s="449">
        <f t="shared" si="17"/>
        <v>1.3476195017644637</v>
      </c>
      <c r="AB48" s="449">
        <f t="shared" si="18"/>
        <v>1.3700053395115976</v>
      </c>
      <c r="AC48" s="449">
        <f t="shared" si="19"/>
        <v>1.3923911772587316</v>
      </c>
      <c r="AD48" s="654">
        <f>_xlfn.FORECAST.LINEAR($AD$4,$W48:$X48,$W$4:$X$4)</f>
        <v>1.2337455846553489</v>
      </c>
      <c r="AF48" s="655">
        <f t="shared" ref="AF48:AF56" si="50">V48/$AD48</f>
        <v>0.81053988150997391</v>
      </c>
      <c r="AG48" s="655">
        <f t="shared" ref="AG48:AG56" si="51">W48/$AD48</f>
        <v>0.97531305301127302</v>
      </c>
      <c r="AH48" s="655">
        <f t="shared" ref="AH48" si="52">X48/$AD48</f>
        <v>1.0061717367471821</v>
      </c>
      <c r="AI48" s="655">
        <f t="shared" ref="AI48" si="53">Y48/$AD48</f>
        <v>1.0370304204830914</v>
      </c>
      <c r="AJ48" s="655">
        <f t="shared" ref="AJ48" si="54">Z48/$AD48</f>
        <v>1.064664885881895</v>
      </c>
      <c r="AK48" s="655">
        <f t="shared" ref="AK48" si="55">AA48/$AD48</f>
        <v>1.0922993512806984</v>
      </c>
      <c r="AL48" s="655">
        <f t="shared" ref="AL48" si="56">AB48/$AD48</f>
        <v>1.1104439655557619</v>
      </c>
      <c r="AM48" s="655">
        <f t="shared" ref="AM48" si="57">AC48/$AD48</f>
        <v>1.1285885798308255</v>
      </c>
      <c r="AO48" s="450" t="s">
        <v>1111</v>
      </c>
      <c r="AP48" s="451">
        <v>9.3808428425650323</v>
      </c>
      <c r="AQ48" s="451">
        <v>8.8624002557856656</v>
      </c>
      <c r="AR48" s="451">
        <v>8.1665144450675626</v>
      </c>
      <c r="AS48" s="451">
        <v>7.6608632465051718</v>
      </c>
      <c r="AT48" s="451">
        <v>7.3657118810820803</v>
      </c>
    </row>
    <row r="49" spans="4:46" ht="15" x14ac:dyDescent="0.2">
      <c r="D49" s="399" t="str">
        <f>D48</f>
        <v>Small Rigid Truck</v>
      </c>
      <c r="E49" s="513" t="s">
        <v>1112</v>
      </c>
      <c r="F49" s="443" t="e">
        <f>F48*#REF!</f>
        <v>#REF!</v>
      </c>
      <c r="G49" s="443" t="e">
        <f>G48*#REF!</f>
        <v>#REF!</v>
      </c>
      <c r="H49" s="444" t="e">
        <f>H48*#REF!</f>
        <v>#REF!</v>
      </c>
      <c r="I49" s="443" t="e">
        <f>I48*#REF!</f>
        <v>#REF!</v>
      </c>
      <c r="J49" s="444" t="e">
        <f>J48*#REF!</f>
        <v>#REF!</v>
      </c>
      <c r="K49" s="443" t="e">
        <f>K48*#REF!</f>
        <v>#REF!</v>
      </c>
      <c r="L49" s="444" t="e">
        <f>L48*#REF!</f>
        <v>#REF!</v>
      </c>
      <c r="M49" s="445" t="e">
        <f>M48*#REF!</f>
        <v>#REF!</v>
      </c>
      <c r="N49" s="453" t="e">
        <f t="shared" si="49"/>
        <v>#REF!</v>
      </c>
      <c r="O49" s="454" t="e">
        <f t="shared" si="49"/>
        <v>#REF!</v>
      </c>
      <c r="P49" s="454" t="e">
        <f t="shared" si="49"/>
        <v>#REF!</v>
      </c>
      <c r="Q49" s="454" t="e">
        <f t="shared" si="49"/>
        <v>#REF!</v>
      </c>
      <c r="R49" s="454" t="e">
        <f t="shared" si="49"/>
        <v>#REF!</v>
      </c>
      <c r="S49" s="454" t="e">
        <f t="shared" si="49"/>
        <v>#REF!</v>
      </c>
      <c r="T49" s="454" t="e">
        <f t="shared" si="49"/>
        <v>#REF!</v>
      </c>
      <c r="U49" s="455" t="e">
        <f t="shared" si="49"/>
        <v>#REF!</v>
      </c>
      <c r="V49" s="449"/>
      <c r="W49" s="449"/>
      <c r="X49" s="449"/>
      <c r="Y49" s="449"/>
      <c r="Z49" s="449"/>
      <c r="AA49" s="449"/>
      <c r="AB49" s="449"/>
      <c r="AC49" s="449"/>
      <c r="AD49" s="654"/>
      <c r="AF49" s="655"/>
      <c r="AG49" s="655"/>
      <c r="AH49" s="655"/>
      <c r="AI49" s="655"/>
      <c r="AJ49" s="655"/>
      <c r="AK49" s="655"/>
      <c r="AL49" s="655"/>
      <c r="AM49" s="655"/>
      <c r="AO49" s="514" t="s">
        <v>1112</v>
      </c>
      <c r="AP49" s="515" t="e">
        <f>AP48/#REF!</f>
        <v>#REF!</v>
      </c>
      <c r="AQ49" s="515" t="e">
        <f>AQ48/#REF!</f>
        <v>#REF!</v>
      </c>
      <c r="AR49" s="515" t="e">
        <f>AR48/#REF!</f>
        <v>#REF!</v>
      </c>
      <c r="AS49" s="515" t="e">
        <f>AS48/#REF!</f>
        <v>#REF!</v>
      </c>
      <c r="AT49" s="515" t="e">
        <f>AT48/#REF!</f>
        <v>#REF!</v>
      </c>
    </row>
    <row r="50" spans="4:46" ht="15" x14ac:dyDescent="0.2">
      <c r="D50" s="399" t="str">
        <f>D48</f>
        <v>Small Rigid Truck</v>
      </c>
      <c r="E50" s="442" t="s">
        <v>1149</v>
      </c>
      <c r="F50" s="443">
        <v>35669.354783651295</v>
      </c>
      <c r="G50" s="443">
        <v>39884.927570945212</v>
      </c>
      <c r="H50" s="444">
        <f t="shared" ref="H50:H56" si="58">AVERAGE(G50,I50)</f>
        <v>40227.826617070168</v>
      </c>
      <c r="I50" s="443">
        <v>40570.725663195117</v>
      </c>
      <c r="J50" s="444">
        <f t="shared" ref="J50:J56" si="59">AVERAGE(I50,K50)</f>
        <v>41186.286477136309</v>
      </c>
      <c r="K50" s="443">
        <v>41801.847291077502</v>
      </c>
      <c r="L50" s="444">
        <f t="shared" ref="L50:L56" si="60">AVERAGE(K50,M50)</f>
        <v>42208.318748892634</v>
      </c>
      <c r="M50" s="445">
        <v>42614.790206707767</v>
      </c>
      <c r="N50" s="453">
        <f t="shared" si="49"/>
        <v>809961.24781628046</v>
      </c>
      <c r="O50" s="454">
        <f t="shared" si="49"/>
        <v>905686.29290798248</v>
      </c>
      <c r="P50" s="454">
        <f t="shared" si="49"/>
        <v>913472.66698059905</v>
      </c>
      <c r="Q50" s="454">
        <f t="shared" si="49"/>
        <v>921259.04105321539</v>
      </c>
      <c r="R50" s="454">
        <f t="shared" si="49"/>
        <v>935236.87743379187</v>
      </c>
      <c r="S50" s="454">
        <f t="shared" si="49"/>
        <v>949214.71381436847</v>
      </c>
      <c r="T50" s="454">
        <f t="shared" si="49"/>
        <v>958444.65730985743</v>
      </c>
      <c r="U50" s="455">
        <f t="shared" si="49"/>
        <v>967674.60080534616</v>
      </c>
      <c r="V50" s="449">
        <f t="shared" si="12"/>
        <v>1</v>
      </c>
      <c r="W50" s="449">
        <f t="shared" si="13"/>
        <v>1.1181847222318158</v>
      </c>
      <c r="X50" s="449">
        <f t="shared" si="14"/>
        <v>1.127797989648756</v>
      </c>
      <c r="Y50" s="449">
        <f t="shared" si="15"/>
        <v>1.137411257065696</v>
      </c>
      <c r="Z50" s="449">
        <f t="shared" si="16"/>
        <v>1.1546686708225418</v>
      </c>
      <c r="AA50" s="449">
        <f t="shared" si="17"/>
        <v>1.1719260845793873</v>
      </c>
      <c r="AB50" s="449">
        <f t="shared" si="18"/>
        <v>1.1833216217367186</v>
      </c>
      <c r="AC50" s="449">
        <f t="shared" si="19"/>
        <v>1.1947171588940499</v>
      </c>
      <c r="AD50" s="654">
        <f t="shared" ref="AD50:AD56" si="61">_xlfn.FORECAST.LINEAR($AD$4,$W50:$X50,$W$4:$X$4)</f>
        <v>1.1258753361653682</v>
      </c>
      <c r="AF50" s="655">
        <f t="shared" si="50"/>
        <v>0.88819780296983109</v>
      </c>
      <c r="AG50" s="655">
        <f t="shared" si="51"/>
        <v>0.99316921360072963</v>
      </c>
      <c r="AH50" s="655">
        <f t="shared" ref="AH50:AH56" si="62">X50/$AD50</f>
        <v>1.0017076965998173</v>
      </c>
      <c r="AI50" s="655">
        <f t="shared" ref="AI50:AI56" si="63">Y50/$AD50</f>
        <v>1.0102461795989051</v>
      </c>
      <c r="AJ50" s="655">
        <f t="shared" ref="AJ50:AJ56" si="64">Z50/$AD50</f>
        <v>1.0255741765826767</v>
      </c>
      <c r="AK50" s="655">
        <f t="shared" ref="AK50:AK56" si="65">AA50/$AD50</f>
        <v>1.0409021735664483</v>
      </c>
      <c r="AL50" s="655">
        <f t="shared" ref="AL50:AL56" si="66">AB50/$AD50</f>
        <v>1.0510236646332509</v>
      </c>
      <c r="AM50" s="655">
        <f t="shared" ref="AM50:AM56" si="67">AC50/$AD50</f>
        <v>1.0611451557000537</v>
      </c>
      <c r="AO50" s="450" t="s">
        <v>1149</v>
      </c>
      <c r="AP50" s="451">
        <v>8.0370670492087761</v>
      </c>
      <c r="AQ50" s="451">
        <v>8.0706644168506614</v>
      </c>
      <c r="AR50" s="451">
        <v>7.4344594207826038</v>
      </c>
      <c r="AS50" s="451">
        <v>6.9720113833657038</v>
      </c>
      <c r="AT50" s="451">
        <v>6.7013644209760415</v>
      </c>
    </row>
    <row r="51" spans="4:46" ht="15" x14ac:dyDescent="0.2">
      <c r="D51" s="399" t="str">
        <f t="shared" ref="D51:D58" si="68">D50</f>
        <v>Small Rigid Truck</v>
      </c>
      <c r="E51" s="442" t="s">
        <v>1150</v>
      </c>
      <c r="F51" s="443">
        <v>36209.955757295749</v>
      </c>
      <c r="G51" s="443">
        <v>38227.4132830854</v>
      </c>
      <c r="H51" s="444">
        <f t="shared" si="58"/>
        <v>38919.452372247106</v>
      </c>
      <c r="I51" s="443">
        <v>39611.491461408819</v>
      </c>
      <c r="J51" s="444">
        <f t="shared" si="59"/>
        <v>40485.614094740085</v>
      </c>
      <c r="K51" s="443">
        <v>41359.736728071344</v>
      </c>
      <c r="L51" s="444">
        <f t="shared" si="60"/>
        <v>41811.402311297265</v>
      </c>
      <c r="M51" s="445">
        <v>42263.067894523185</v>
      </c>
      <c r="N51" s="453">
        <f t="shared" si="49"/>
        <v>822236.93493873021</v>
      </c>
      <c r="O51" s="454">
        <f t="shared" si="49"/>
        <v>868048.31630282162</v>
      </c>
      <c r="P51" s="454">
        <f t="shared" si="49"/>
        <v>883762.78177591099</v>
      </c>
      <c r="Q51" s="454">
        <f t="shared" si="49"/>
        <v>899477.24724900036</v>
      </c>
      <c r="R51" s="454">
        <f t="shared" si="49"/>
        <v>919326.37160607881</v>
      </c>
      <c r="S51" s="454">
        <f t="shared" si="49"/>
        <v>939175.49596315704</v>
      </c>
      <c r="T51" s="454">
        <f t="shared" si="49"/>
        <v>949431.68426833511</v>
      </c>
      <c r="U51" s="455">
        <f t="shared" si="49"/>
        <v>959687.8725735133</v>
      </c>
      <c r="V51" s="449">
        <f t="shared" si="12"/>
        <v>1</v>
      </c>
      <c r="W51" s="449">
        <f t="shared" si="13"/>
        <v>1.055715547936928</v>
      </c>
      <c r="X51" s="449">
        <f t="shared" si="14"/>
        <v>1.0748273936900747</v>
      </c>
      <c r="Y51" s="449">
        <f t="shared" si="15"/>
        <v>1.0939392394432217</v>
      </c>
      <c r="Z51" s="449">
        <f t="shared" si="16"/>
        <v>1.1180796343995216</v>
      </c>
      <c r="AA51" s="449">
        <f t="shared" si="17"/>
        <v>1.1422200293558213</v>
      </c>
      <c r="AB51" s="449">
        <f t="shared" si="18"/>
        <v>1.1546935486899321</v>
      </c>
      <c r="AC51" s="449">
        <f t="shared" si="19"/>
        <v>1.1671670680240427</v>
      </c>
      <c r="AD51" s="654">
        <f t="shared" si="61"/>
        <v>1.0710050245394447</v>
      </c>
      <c r="AF51" s="655">
        <f t="shared" si="50"/>
        <v>0.93370243564452149</v>
      </c>
      <c r="AG51" s="655">
        <f t="shared" si="51"/>
        <v>0.98572417845650029</v>
      </c>
      <c r="AH51" s="655">
        <f t="shared" si="62"/>
        <v>1.0035689553858758</v>
      </c>
      <c r="AI51" s="655">
        <f t="shared" si="63"/>
        <v>1.0214137323152515</v>
      </c>
      <c r="AJ51" s="655">
        <f t="shared" si="64"/>
        <v>1.0439536778833693</v>
      </c>
      <c r="AK51" s="655">
        <f t="shared" si="65"/>
        <v>1.0664936234514872</v>
      </c>
      <c r="AL51" s="655">
        <f t="shared" si="66"/>
        <v>1.0781401788348055</v>
      </c>
      <c r="AM51" s="655">
        <f t="shared" si="67"/>
        <v>1.0897867342181236</v>
      </c>
      <c r="AO51" s="450" t="s">
        <v>1150</v>
      </c>
      <c r="AP51" s="451">
        <v>8.5098356991622346</v>
      </c>
      <c r="AQ51" s="451">
        <v>8.5454093825477599</v>
      </c>
      <c r="AR51" s="451">
        <v>7.8138799454751222</v>
      </c>
      <c r="AS51" s="451">
        <v>7.2632202758226097</v>
      </c>
      <c r="AT51" s="451">
        <v>6.9818150541375985</v>
      </c>
    </row>
    <row r="52" spans="4:46" ht="15" x14ac:dyDescent="0.2">
      <c r="D52" s="399" t="str">
        <f t="shared" si="68"/>
        <v>Small Rigid Truck</v>
      </c>
      <c r="E52" s="442" t="s">
        <v>1113</v>
      </c>
      <c r="F52" s="443">
        <v>37168.384735655469</v>
      </c>
      <c r="G52" s="443">
        <v>38999.227156820401</v>
      </c>
      <c r="H52" s="444">
        <f t="shared" si="58"/>
        <v>39111.830061309956</v>
      </c>
      <c r="I52" s="443">
        <v>39224.432965799504</v>
      </c>
      <c r="J52" s="444">
        <f t="shared" si="59"/>
        <v>39512.013612509909</v>
      </c>
      <c r="K52" s="443">
        <v>39799.594259220306</v>
      </c>
      <c r="L52" s="444">
        <f t="shared" si="60"/>
        <v>40104.585122615928</v>
      </c>
      <c r="M52" s="445">
        <v>40409.575986011558</v>
      </c>
      <c r="N52" s="453">
        <f t="shared" si="49"/>
        <v>844000.4441461165</v>
      </c>
      <c r="O52" s="454">
        <f t="shared" si="49"/>
        <v>885574.26629670395</v>
      </c>
      <c r="P52" s="454">
        <f t="shared" si="49"/>
        <v>888131.19477442082</v>
      </c>
      <c r="Q52" s="454">
        <f t="shared" si="49"/>
        <v>890688.1232521371</v>
      </c>
      <c r="R52" s="454">
        <f t="shared" si="49"/>
        <v>897218.35574078676</v>
      </c>
      <c r="S52" s="454">
        <f t="shared" si="49"/>
        <v>903748.58822943643</v>
      </c>
      <c r="T52" s="454">
        <f t="shared" si="49"/>
        <v>910674.16290794755</v>
      </c>
      <c r="U52" s="455">
        <f t="shared" si="49"/>
        <v>917599.7375864588</v>
      </c>
      <c r="V52" s="449">
        <f t="shared" si="12"/>
        <v>1</v>
      </c>
      <c r="W52" s="449">
        <f t="shared" si="13"/>
        <v>1.0492580571952759</v>
      </c>
      <c r="X52" s="449">
        <f t="shared" si="14"/>
        <v>1.0522875917120538</v>
      </c>
      <c r="Y52" s="449">
        <f t="shared" si="15"/>
        <v>1.0553171262288317</v>
      </c>
      <c r="Z52" s="449">
        <f t="shared" si="16"/>
        <v>1.0630543644423216</v>
      </c>
      <c r="AA52" s="449">
        <f t="shared" si="17"/>
        <v>1.0707916026558111</v>
      </c>
      <c r="AB52" s="449">
        <f t="shared" si="18"/>
        <v>1.0789972555397001</v>
      </c>
      <c r="AC52" s="449">
        <f t="shared" si="19"/>
        <v>1.087202908423589</v>
      </c>
      <c r="AD52" s="654">
        <f t="shared" si="61"/>
        <v>1.0516816848086981</v>
      </c>
      <c r="AF52" s="655">
        <f t="shared" si="50"/>
        <v>0.95085805376738208</v>
      </c>
      <c r="AG52" s="655">
        <f t="shared" si="51"/>
        <v>0.99769547416444448</v>
      </c>
      <c r="AH52" s="655">
        <f t="shared" si="62"/>
        <v>1.000576131458889</v>
      </c>
      <c r="AI52" s="655">
        <f t="shared" si="63"/>
        <v>1.0034567887533337</v>
      </c>
      <c r="AJ52" s="655">
        <f t="shared" si="64"/>
        <v>1.0108138040225472</v>
      </c>
      <c r="AK52" s="655">
        <f t="shared" si="65"/>
        <v>1.0181708192917605</v>
      </c>
      <c r="AL52" s="655">
        <f t="shared" si="66"/>
        <v>1.0259732304228257</v>
      </c>
      <c r="AM52" s="655">
        <f t="shared" si="67"/>
        <v>1.0337756415538912</v>
      </c>
      <c r="AO52" s="450" t="s">
        <v>1113</v>
      </c>
      <c r="AP52" s="451">
        <v>7.5642983992553194</v>
      </c>
      <c r="AQ52" s="451">
        <v>7.6095190777654445</v>
      </c>
      <c r="AR52" s="451">
        <v>7.0105984075176906</v>
      </c>
      <c r="AS52" s="451">
        <v>6.6384041817577639</v>
      </c>
      <c r="AT52" s="451">
        <v>6.3333149572026954</v>
      </c>
    </row>
    <row r="53" spans="4:46" ht="15" x14ac:dyDescent="0.2">
      <c r="D53" s="399" t="str">
        <f t="shared" si="68"/>
        <v>Small Rigid Truck</v>
      </c>
      <c r="E53" s="442" t="s">
        <v>1117</v>
      </c>
      <c r="F53" s="443">
        <v>98258.953517306407</v>
      </c>
      <c r="G53" s="443">
        <v>64495.792840614806</v>
      </c>
      <c r="H53" s="444">
        <f t="shared" si="58"/>
        <v>58565.260766379783</v>
      </c>
      <c r="I53" s="443">
        <v>52634.728692144752</v>
      </c>
      <c r="J53" s="444">
        <f t="shared" si="59"/>
        <v>53056.923719918734</v>
      </c>
      <c r="K53" s="443">
        <v>53479.118747692715</v>
      </c>
      <c r="L53" s="444">
        <f t="shared" si="60"/>
        <v>53610.51498168605</v>
      </c>
      <c r="M53" s="445">
        <v>53741.911215679378</v>
      </c>
      <c r="N53" s="453">
        <f t="shared" si="49"/>
        <v>2231213.4627250633</v>
      </c>
      <c r="O53" s="454">
        <f t="shared" si="49"/>
        <v>1464537.0841422672</v>
      </c>
      <c r="P53" s="454">
        <f t="shared" si="49"/>
        <v>1329869.6311368232</v>
      </c>
      <c r="Q53" s="454">
        <f t="shared" si="49"/>
        <v>1195202.1781313787</v>
      </c>
      <c r="R53" s="454">
        <f t="shared" si="49"/>
        <v>1204789.1643157878</v>
      </c>
      <c r="S53" s="454">
        <f t="shared" si="49"/>
        <v>1214376.1505001965</v>
      </c>
      <c r="T53" s="454">
        <f t="shared" si="49"/>
        <v>1217359.8281778309</v>
      </c>
      <c r="U53" s="455">
        <f t="shared" si="49"/>
        <v>1220343.5058554651</v>
      </c>
      <c r="V53" s="449">
        <f t="shared" si="12"/>
        <v>1</v>
      </c>
      <c r="W53" s="449">
        <f t="shared" si="13"/>
        <v>0.65638591224417142</v>
      </c>
      <c r="X53" s="449">
        <f t="shared" si="14"/>
        <v>0.59602976288633736</v>
      </c>
      <c r="Y53" s="449">
        <f t="shared" si="15"/>
        <v>0.53567361352850318</v>
      </c>
      <c r="Z53" s="449">
        <f t="shared" si="16"/>
        <v>0.53997037237501</v>
      </c>
      <c r="AA53" s="449">
        <f t="shared" si="17"/>
        <v>0.54426713122151671</v>
      </c>
      <c r="AB53" s="449">
        <f t="shared" si="18"/>
        <v>0.54560437560780251</v>
      </c>
      <c r="AC53" s="449">
        <f t="shared" si="19"/>
        <v>0.54694161999408819</v>
      </c>
      <c r="AD53" s="654">
        <f t="shared" si="61"/>
        <v>0.60810099275790463</v>
      </c>
      <c r="AF53" s="655">
        <f t="shared" si="50"/>
        <v>1.6444636859820372</v>
      </c>
      <c r="AG53" s="655">
        <f t="shared" si="51"/>
        <v>1.0794027966757322</v>
      </c>
      <c r="AH53" s="655">
        <f t="shared" si="62"/>
        <v>0.98014930083106599</v>
      </c>
      <c r="AI53" s="655">
        <f t="shared" si="63"/>
        <v>0.88089580498639963</v>
      </c>
      <c r="AJ53" s="655">
        <f t="shared" si="64"/>
        <v>0.8879616688769022</v>
      </c>
      <c r="AK53" s="655">
        <f t="shared" si="65"/>
        <v>0.89502753276740454</v>
      </c>
      <c r="AL53" s="655">
        <f t="shared" si="66"/>
        <v>0.89722658259993482</v>
      </c>
      <c r="AM53" s="655">
        <f t="shared" si="67"/>
        <v>0.89942563243246498</v>
      </c>
      <c r="AO53" s="450" t="s">
        <v>1117</v>
      </c>
      <c r="AP53" s="451">
        <v>2.8650268656617239</v>
      </c>
      <c r="AQ53" s="451">
        <v>2.7764842570841308</v>
      </c>
      <c r="AR53" s="451">
        <v>2.6226991149666841</v>
      </c>
      <c r="AS53" s="451">
        <v>2.4751373976939441</v>
      </c>
      <c r="AT53" s="451">
        <v>2.3434027526508525</v>
      </c>
    </row>
    <row r="54" spans="4:46" ht="15" x14ac:dyDescent="0.2">
      <c r="D54" s="399" t="str">
        <f t="shared" si="68"/>
        <v>Small Rigid Truck</v>
      </c>
      <c r="E54" s="442" t="s">
        <v>1116</v>
      </c>
      <c r="F54" s="443">
        <v>186705.6549520159</v>
      </c>
      <c r="G54" s="443">
        <v>79994.586312453306</v>
      </c>
      <c r="H54" s="444">
        <f t="shared" si="58"/>
        <v>63025.263123564284</v>
      </c>
      <c r="I54" s="443">
        <v>46055.939934675262</v>
      </c>
      <c r="J54" s="444">
        <f t="shared" si="59"/>
        <v>43953.965599473762</v>
      </c>
      <c r="K54" s="443">
        <v>41851.991264272263</v>
      </c>
      <c r="L54" s="444">
        <f t="shared" si="60"/>
        <v>41106.818849390285</v>
      </c>
      <c r="M54" s="445">
        <v>40361.6464345083</v>
      </c>
      <c r="N54" s="453">
        <f t="shared" si="49"/>
        <v>4239615.3834720589</v>
      </c>
      <c r="O54" s="454">
        <f t="shared" si="49"/>
        <v>1816475.664927891</v>
      </c>
      <c r="P54" s="454">
        <f t="shared" si="49"/>
        <v>1431145.056397513</v>
      </c>
      <c r="Q54" s="454">
        <f t="shared" si="49"/>
        <v>1045814.4478671353</v>
      </c>
      <c r="R54" s="454">
        <f t="shared" si="49"/>
        <v>998083.9025364432</v>
      </c>
      <c r="S54" s="454">
        <f t="shared" si="49"/>
        <v>950353.35720575124</v>
      </c>
      <c r="T54" s="454">
        <f t="shared" si="49"/>
        <v>933432.36767126399</v>
      </c>
      <c r="U54" s="455">
        <f t="shared" si="49"/>
        <v>916511.3781367765</v>
      </c>
      <c r="V54" s="449">
        <f t="shared" si="12"/>
        <v>1</v>
      </c>
      <c r="W54" s="449">
        <f t="shared" si="13"/>
        <v>0.42845293750214603</v>
      </c>
      <c r="X54" s="449">
        <f t="shared" si="14"/>
        <v>0.33756483240832758</v>
      </c>
      <c r="Y54" s="449">
        <f t="shared" si="15"/>
        <v>0.24667672731450915</v>
      </c>
      <c r="Z54" s="449">
        <f t="shared" si="16"/>
        <v>0.23541850197719028</v>
      </c>
      <c r="AA54" s="449">
        <f t="shared" si="17"/>
        <v>0.22416027663987143</v>
      </c>
      <c r="AB54" s="449">
        <f t="shared" si="18"/>
        <v>0.2201691151773357</v>
      </c>
      <c r="AC54" s="449">
        <f t="shared" si="19"/>
        <v>0.21617795371479992</v>
      </c>
      <c r="AD54" s="654">
        <f t="shared" si="61"/>
        <v>0.35574245342709787</v>
      </c>
      <c r="AF54" s="655">
        <f t="shared" si="50"/>
        <v>2.8110223853418428</v>
      </c>
      <c r="AG54" s="655">
        <f t="shared" si="51"/>
        <v>1.2043907983840019</v>
      </c>
      <c r="AH54" s="655">
        <f t="shared" si="62"/>
        <v>0.94890230040397627</v>
      </c>
      <c r="AI54" s="655">
        <f t="shared" si="63"/>
        <v>0.69341380242395079</v>
      </c>
      <c r="AJ54" s="655">
        <f t="shared" si="64"/>
        <v>0.66176667898152475</v>
      </c>
      <c r="AK54" s="655">
        <f t="shared" si="65"/>
        <v>0.63011955553909871</v>
      </c>
      <c r="AL54" s="655">
        <f t="shared" si="66"/>
        <v>0.61890031132439705</v>
      </c>
      <c r="AM54" s="655">
        <f t="shared" si="67"/>
        <v>0.60768106710969527</v>
      </c>
      <c r="AO54" s="450" t="s">
        <v>1116</v>
      </c>
      <c r="AP54" s="451">
        <v>4.4231993715479234</v>
      </c>
      <c r="AQ54" s="451">
        <v>4.1444713824617345</v>
      </c>
      <c r="AR54" s="451">
        <v>3.7921216006621576</v>
      </c>
      <c r="AS54" s="451">
        <v>3.4723007013294853</v>
      </c>
      <c r="AT54" s="451">
        <v>3.1945713779251985</v>
      </c>
    </row>
    <row r="55" spans="4:46" ht="15" x14ac:dyDescent="0.2">
      <c r="D55" s="399" t="str">
        <f t="shared" si="68"/>
        <v>Small Rigid Truck</v>
      </c>
      <c r="E55" s="442" t="s">
        <v>1151</v>
      </c>
      <c r="F55" s="443">
        <v>46317.339930537317</v>
      </c>
      <c r="G55" s="443">
        <v>45451.674961545068</v>
      </c>
      <c r="H55" s="444">
        <f t="shared" si="58"/>
        <v>45628.700300804441</v>
      </c>
      <c r="I55" s="443">
        <v>45805.725640063807</v>
      </c>
      <c r="J55" s="444">
        <f t="shared" si="59"/>
        <v>46283.513838402505</v>
      </c>
      <c r="K55" s="443">
        <v>46761.302036741195</v>
      </c>
      <c r="L55" s="444">
        <f t="shared" si="60"/>
        <v>47093.283384632814</v>
      </c>
      <c r="M55" s="445">
        <v>47425.264732524425</v>
      </c>
      <c r="N55" s="453">
        <f t="shared" si="49"/>
        <v>1051750.1836860697</v>
      </c>
      <c r="O55" s="454">
        <f t="shared" si="49"/>
        <v>1032093.1115935526</v>
      </c>
      <c r="P55" s="454">
        <f t="shared" si="49"/>
        <v>1036112.9113783062</v>
      </c>
      <c r="Q55" s="454">
        <f t="shared" si="49"/>
        <v>1040132.7111630597</v>
      </c>
      <c r="R55" s="454">
        <f t="shared" si="49"/>
        <v>1050982.078292506</v>
      </c>
      <c r="S55" s="454">
        <f t="shared" si="49"/>
        <v>1061831.4454219521</v>
      </c>
      <c r="T55" s="454">
        <f t="shared" si="49"/>
        <v>1069369.9060535212</v>
      </c>
      <c r="U55" s="455">
        <f t="shared" si="49"/>
        <v>1076908.3666850901</v>
      </c>
      <c r="V55" s="449">
        <f t="shared" si="12"/>
        <v>1</v>
      </c>
      <c r="W55" s="449">
        <f t="shared" si="13"/>
        <v>0.98131013200908135</v>
      </c>
      <c r="X55" s="449">
        <f t="shared" si="14"/>
        <v>0.98513214207107669</v>
      </c>
      <c r="Y55" s="449">
        <f t="shared" si="15"/>
        <v>0.98895415213307192</v>
      </c>
      <c r="Z55" s="449">
        <f t="shared" si="16"/>
        <v>0.99926968836756291</v>
      </c>
      <c r="AA55" s="449">
        <f t="shared" si="17"/>
        <v>1.0095852246020538</v>
      </c>
      <c r="AB55" s="449">
        <f t="shared" si="18"/>
        <v>1.0167527637653455</v>
      </c>
      <c r="AC55" s="449">
        <f t="shared" si="19"/>
        <v>1.023920302928637</v>
      </c>
      <c r="AD55" s="654">
        <f t="shared" si="61"/>
        <v>0.98436774005867744</v>
      </c>
      <c r="AF55" s="655">
        <f t="shared" si="50"/>
        <v>1.0158805081730846</v>
      </c>
      <c r="AG55" s="655">
        <f t="shared" si="51"/>
        <v>0.99689383558078215</v>
      </c>
      <c r="AH55" s="655">
        <f t="shared" si="62"/>
        <v>1.0007765411048046</v>
      </c>
      <c r="AI55" s="655">
        <f t="shared" si="63"/>
        <v>1.0046592466288271</v>
      </c>
      <c r="AJ55" s="655">
        <f t="shared" si="64"/>
        <v>1.0151385988207997</v>
      </c>
      <c r="AK55" s="655">
        <f t="shared" si="65"/>
        <v>1.0256179510127721</v>
      </c>
      <c r="AL55" s="655">
        <f t="shared" si="66"/>
        <v>1.0328993143403273</v>
      </c>
      <c r="AM55" s="655">
        <f t="shared" si="67"/>
        <v>1.0401806776678824</v>
      </c>
      <c r="AO55" s="450" t="s">
        <v>1151</v>
      </c>
      <c r="AP55" s="451">
        <v>9.3808428425650323</v>
      </c>
      <c r="AQ55" s="451">
        <v>8.8624002557856656</v>
      </c>
      <c r="AR55" s="451">
        <v>8.1665144450675626</v>
      </c>
      <c r="AS55" s="451">
        <v>7.6608632465051718</v>
      </c>
      <c r="AT55" s="451">
        <v>7.3657118810820803</v>
      </c>
    </row>
    <row r="56" spans="4:46" ht="15" x14ac:dyDescent="0.2">
      <c r="D56" s="399" t="str">
        <f t="shared" si="68"/>
        <v>Small Rigid Truck</v>
      </c>
      <c r="E56" s="442" t="s">
        <v>1115</v>
      </c>
      <c r="F56" s="443">
        <v>44275.919735739342</v>
      </c>
      <c r="G56" s="443">
        <v>43586.340712469508</v>
      </c>
      <c r="H56" s="444">
        <f t="shared" si="58"/>
        <v>43737.618689486233</v>
      </c>
      <c r="I56" s="443">
        <v>43888.896666502958</v>
      </c>
      <c r="J56" s="444">
        <f t="shared" si="59"/>
        <v>44371.661420226636</v>
      </c>
      <c r="K56" s="443">
        <v>44854.426173950313</v>
      </c>
      <c r="L56" s="444">
        <f t="shared" si="60"/>
        <v>45190.948956767446</v>
      </c>
      <c r="M56" s="445">
        <v>45527.471739584573</v>
      </c>
      <c r="N56" s="453">
        <f t="shared" si="49"/>
        <v>1005394.6704359738</v>
      </c>
      <c r="O56" s="454">
        <f t="shared" si="49"/>
        <v>989736.06686595443</v>
      </c>
      <c r="P56" s="454">
        <f t="shared" si="49"/>
        <v>993171.20887440338</v>
      </c>
      <c r="Q56" s="454">
        <f t="shared" si="49"/>
        <v>996606.35088285233</v>
      </c>
      <c r="R56" s="454">
        <f t="shared" si="49"/>
        <v>1007568.7230563734</v>
      </c>
      <c r="S56" s="454">
        <f t="shared" si="49"/>
        <v>1018531.0952298945</v>
      </c>
      <c r="T56" s="454">
        <f t="shared" si="49"/>
        <v>1026172.6804153406</v>
      </c>
      <c r="U56" s="455">
        <f t="shared" si="49"/>
        <v>1033814.2656007867</v>
      </c>
      <c r="V56" s="449">
        <f t="shared" si="12"/>
        <v>1</v>
      </c>
      <c r="W56" s="449">
        <f t="shared" si="13"/>
        <v>0.98442541617688384</v>
      </c>
      <c r="X56" s="449">
        <f t="shared" si="14"/>
        <v>0.98784212616099321</v>
      </c>
      <c r="Y56" s="449">
        <f t="shared" si="15"/>
        <v>0.99125883614510257</v>
      </c>
      <c r="Z56" s="449">
        <f t="shared" si="16"/>
        <v>1.0021623872538103</v>
      </c>
      <c r="AA56" s="449">
        <f t="shared" si="17"/>
        <v>1.0130659383625182</v>
      </c>
      <c r="AB56" s="449">
        <f t="shared" si="18"/>
        <v>1.0206665209099992</v>
      </c>
      <c r="AC56" s="449">
        <f t="shared" si="19"/>
        <v>1.0282671034574802</v>
      </c>
      <c r="AD56" s="654">
        <f t="shared" si="61"/>
        <v>0.98715878416417147</v>
      </c>
      <c r="AF56" s="655">
        <f t="shared" si="50"/>
        <v>1.0130082576803501</v>
      </c>
      <c r="AG56" s="655">
        <f t="shared" si="51"/>
        <v>0.9972310756575985</v>
      </c>
      <c r="AH56" s="655">
        <f t="shared" si="62"/>
        <v>1.0006922310856001</v>
      </c>
      <c r="AI56" s="655">
        <f t="shared" si="63"/>
        <v>1.0041533865136019</v>
      </c>
      <c r="AJ56" s="655">
        <f t="shared" si="64"/>
        <v>1.0151987738247625</v>
      </c>
      <c r="AK56" s="655">
        <f t="shared" si="65"/>
        <v>1.0262441611359234</v>
      </c>
      <c r="AL56" s="655">
        <f t="shared" si="66"/>
        <v>1.0339436140197027</v>
      </c>
      <c r="AM56" s="655">
        <f t="shared" si="67"/>
        <v>1.0416430669034822</v>
      </c>
      <c r="AO56" s="450" t="s">
        <v>1115</v>
      </c>
      <c r="AP56" s="451">
        <v>10.787969268949785</v>
      </c>
      <c r="AQ56" s="451">
        <v>10.191760294153514</v>
      </c>
      <c r="AR56" s="451">
        <v>9.3914916118276945</v>
      </c>
      <c r="AS56" s="451">
        <v>8.8099927334809465</v>
      </c>
      <c r="AT56" s="451">
        <v>8.4705686632443875</v>
      </c>
    </row>
    <row r="57" spans="4:46" ht="15" x14ac:dyDescent="0.2">
      <c r="D57" s="399" t="str">
        <f t="shared" si="68"/>
        <v>Small Rigid Truck</v>
      </c>
      <c r="E57" s="460"/>
      <c r="F57" s="461"/>
      <c r="G57" s="461"/>
      <c r="H57" s="462"/>
      <c r="I57" s="461"/>
      <c r="J57" s="461"/>
      <c r="K57" s="461"/>
      <c r="L57" s="461"/>
      <c r="M57" s="463"/>
      <c r="N57" s="464"/>
      <c r="O57" s="465"/>
      <c r="P57" s="465"/>
      <c r="Q57" s="465"/>
      <c r="R57" s="465"/>
      <c r="S57" s="465"/>
      <c r="T57" s="465"/>
      <c r="U57" s="466"/>
      <c r="V57" s="449"/>
      <c r="W57" s="449"/>
      <c r="X57" s="449"/>
      <c r="Y57" s="449"/>
      <c r="Z57" s="449"/>
      <c r="AA57" s="449"/>
      <c r="AB57" s="449"/>
      <c r="AC57" s="449"/>
      <c r="AD57" s="654"/>
      <c r="AF57" s="655"/>
      <c r="AG57" s="655"/>
      <c r="AH57" s="655"/>
      <c r="AI57" s="655"/>
      <c r="AJ57" s="655"/>
      <c r="AK57" s="655"/>
      <c r="AL57" s="655"/>
      <c r="AM57" s="655"/>
    </row>
    <row r="58" spans="4:46" ht="15" x14ac:dyDescent="0.2">
      <c r="D58" s="399" t="str">
        <f t="shared" si="68"/>
        <v>Small Rigid Truck</v>
      </c>
      <c r="E58" s="414" t="s">
        <v>1128</v>
      </c>
      <c r="F58" s="415" t="s">
        <v>1129</v>
      </c>
      <c r="G58" s="416">
        <v>0.08</v>
      </c>
      <c r="H58" s="505"/>
      <c r="I58" s="418"/>
      <c r="J58" s="418"/>
      <c r="K58" s="418"/>
      <c r="L58" s="418"/>
      <c r="M58" s="419"/>
      <c r="N58" s="512"/>
      <c r="O58" s="423"/>
      <c r="P58" s="423"/>
      <c r="Q58" s="423"/>
      <c r="R58" s="423"/>
      <c r="S58" s="423"/>
      <c r="T58" s="423"/>
      <c r="U58" s="424"/>
      <c r="V58" s="449"/>
      <c r="W58" s="449"/>
      <c r="X58" s="449"/>
      <c r="Y58" s="449"/>
      <c r="Z58" s="449"/>
      <c r="AA58" s="449"/>
      <c r="AB58" s="449"/>
      <c r="AC58" s="449"/>
      <c r="AD58" s="654"/>
      <c r="AF58" s="655"/>
      <c r="AG58" s="655"/>
      <c r="AH58" s="655"/>
      <c r="AI58" s="655"/>
      <c r="AJ58" s="655"/>
      <c r="AK58" s="655"/>
      <c r="AL58" s="655"/>
      <c r="AM58" s="655"/>
      <c r="AO58" s="425" t="s">
        <v>1131</v>
      </c>
      <c r="AP58" s="399" t="s">
        <v>1132</v>
      </c>
    </row>
    <row r="59" spans="4:46" ht="15" x14ac:dyDescent="0.2">
      <c r="D59" s="399" t="str">
        <f>E59</f>
        <v>Large Rigid Truck</v>
      </c>
      <c r="E59" s="426" t="s">
        <v>1122</v>
      </c>
      <c r="F59" s="427">
        <v>2010</v>
      </c>
      <c r="G59" s="427">
        <v>2020</v>
      </c>
      <c r="H59" s="471"/>
      <c r="I59" s="427">
        <v>2030</v>
      </c>
      <c r="J59" s="427"/>
      <c r="K59" s="427">
        <v>2040</v>
      </c>
      <c r="L59" s="427"/>
      <c r="M59" s="430">
        <v>2050</v>
      </c>
      <c r="N59" s="431" t="e">
        <f>#REF!</f>
        <v>#REF!</v>
      </c>
      <c r="O59" s="432" t="e">
        <f>#REF!</f>
        <v>#REF!</v>
      </c>
      <c r="P59" s="432" t="e">
        <f>#REF!</f>
        <v>#REF!</v>
      </c>
      <c r="Q59" s="432" t="e">
        <f>#REF!</f>
        <v>#REF!</v>
      </c>
      <c r="R59" s="432" t="e">
        <f>#REF!</f>
        <v>#REF!</v>
      </c>
      <c r="S59" s="432" t="e">
        <f>#REF!</f>
        <v>#REF!</v>
      </c>
      <c r="T59" s="432" t="e">
        <f>#REF!</f>
        <v>#REF!</v>
      </c>
      <c r="U59" s="433" t="e">
        <f>#REF!</f>
        <v>#REF!</v>
      </c>
      <c r="V59" s="449"/>
      <c r="W59" s="449"/>
      <c r="X59" s="449"/>
      <c r="Y59" s="449"/>
      <c r="Z59" s="449"/>
      <c r="AA59" s="449"/>
      <c r="AB59" s="449"/>
      <c r="AC59" s="449"/>
      <c r="AD59" s="654"/>
      <c r="AF59" s="655"/>
      <c r="AG59" s="655"/>
      <c r="AH59" s="655"/>
      <c r="AI59" s="655"/>
      <c r="AJ59" s="655"/>
      <c r="AK59" s="655"/>
      <c r="AL59" s="655"/>
      <c r="AM59" s="655"/>
      <c r="AO59" s="516" t="s">
        <v>1122</v>
      </c>
      <c r="AP59" s="427">
        <v>2010</v>
      </c>
      <c r="AQ59" s="427">
        <v>2020</v>
      </c>
      <c r="AR59" s="427">
        <v>2030</v>
      </c>
      <c r="AS59" s="427">
        <v>2040</v>
      </c>
      <c r="AT59" s="427">
        <v>2050</v>
      </c>
    </row>
    <row r="60" spans="4:46" ht="15" x14ac:dyDescent="0.2">
      <c r="D60" s="399" t="str">
        <f t="shared" ref="D60:D70" si="69">D59</f>
        <v>Large Rigid Truck</v>
      </c>
      <c r="E60" s="434" t="s">
        <v>1135</v>
      </c>
      <c r="F60" s="435" t="s">
        <v>878</v>
      </c>
      <c r="G60" s="517"/>
      <c r="H60" s="518"/>
      <c r="I60" s="517"/>
      <c r="J60" s="517"/>
      <c r="K60" s="517"/>
      <c r="L60" s="435"/>
      <c r="M60" s="438" t="s">
        <v>878</v>
      </c>
      <c r="N60" s="439" t="s">
        <v>1137</v>
      </c>
      <c r="O60" s="412" t="s">
        <v>1137</v>
      </c>
      <c r="P60" s="412" t="s">
        <v>1137</v>
      </c>
      <c r="Q60" s="412" t="s">
        <v>1137</v>
      </c>
      <c r="R60" s="412" t="s">
        <v>1137</v>
      </c>
      <c r="S60" s="412" t="s">
        <v>1137</v>
      </c>
      <c r="T60" s="412" t="s">
        <v>1137</v>
      </c>
      <c r="U60" s="413" t="s">
        <v>1137</v>
      </c>
      <c r="V60" s="449"/>
      <c r="W60" s="449"/>
      <c r="X60" s="449"/>
      <c r="Y60" s="449"/>
      <c r="Z60" s="449"/>
      <c r="AA60" s="449"/>
      <c r="AB60" s="449"/>
      <c r="AC60" s="449"/>
      <c r="AD60" s="654"/>
      <c r="AF60" s="655"/>
      <c r="AG60" s="655"/>
      <c r="AH60" s="655"/>
      <c r="AI60" s="655"/>
      <c r="AJ60" s="655"/>
      <c r="AK60" s="655"/>
      <c r="AL60" s="655"/>
      <c r="AM60" s="655"/>
      <c r="AO60" s="440" t="s">
        <v>1139</v>
      </c>
      <c r="AP60" s="441" t="s">
        <v>1140</v>
      </c>
      <c r="AQ60" s="441" t="s">
        <v>1140</v>
      </c>
      <c r="AR60" s="441" t="s">
        <v>1140</v>
      </c>
      <c r="AS60" s="441" t="s">
        <v>1140</v>
      </c>
      <c r="AT60" s="441" t="s">
        <v>1140</v>
      </c>
    </row>
    <row r="61" spans="4:46" ht="15" x14ac:dyDescent="0.2">
      <c r="D61" s="399" t="str">
        <f t="shared" si="69"/>
        <v>Large Rigid Truck</v>
      </c>
      <c r="E61" s="442" t="s">
        <v>1111</v>
      </c>
      <c r="F61" s="443">
        <v>48009.385894341649</v>
      </c>
      <c r="G61" s="443">
        <v>57940.419801900251</v>
      </c>
      <c r="H61" s="444">
        <f>AVERAGE(G61,I61)</f>
        <v>59814.257149154539</v>
      </c>
      <c r="I61" s="443">
        <v>61688.094496408827</v>
      </c>
      <c r="J61" s="444">
        <f>AVERAGE(I61,K61)</f>
        <v>62890.784139991294</v>
      </c>
      <c r="K61" s="443">
        <v>64093.473783573761</v>
      </c>
      <c r="L61" s="444">
        <f>AVERAGE(K61,M61)</f>
        <v>65128.994301691499</v>
      </c>
      <c r="M61" s="445">
        <v>66164.514819809236</v>
      </c>
      <c r="N61" s="453">
        <f t="shared" ref="N61:U68" si="70">F61*$E$2*$O$2</f>
        <v>1090172.2877167715</v>
      </c>
      <c r="O61" s="454">
        <f t="shared" si="70"/>
        <v>1315681.0659007472</v>
      </c>
      <c r="P61" s="454">
        <f t="shared" si="70"/>
        <v>1358231.1945810246</v>
      </c>
      <c r="Q61" s="454">
        <f t="shared" si="70"/>
        <v>1400781.3232613022</v>
      </c>
      <c r="R61" s="454">
        <f t="shared" si="70"/>
        <v>1428091.3772378955</v>
      </c>
      <c r="S61" s="454">
        <f t="shared" si="70"/>
        <v>1455401.4312144886</v>
      </c>
      <c r="T61" s="454">
        <f t="shared" si="70"/>
        <v>1478915.4952081111</v>
      </c>
      <c r="U61" s="455">
        <f t="shared" si="70"/>
        <v>1502429.5592017337</v>
      </c>
      <c r="V61" s="449">
        <f t="shared" si="12"/>
        <v>1</v>
      </c>
      <c r="W61" s="449">
        <f t="shared" si="13"/>
        <v>1.2068560912113035</v>
      </c>
      <c r="X61" s="449">
        <f t="shared" si="14"/>
        <v>1.2458867372474389</v>
      </c>
      <c r="Y61" s="449">
        <f t="shared" si="15"/>
        <v>1.2849173832835745</v>
      </c>
      <c r="Z61" s="449">
        <f t="shared" si="16"/>
        <v>1.3099685190391814</v>
      </c>
      <c r="AA61" s="449">
        <f t="shared" si="17"/>
        <v>1.3350196547947881</v>
      </c>
      <c r="AB61" s="449">
        <f t="shared" si="18"/>
        <v>1.3565887813067727</v>
      </c>
      <c r="AC61" s="449">
        <f t="shared" si="19"/>
        <v>1.3781579078187571</v>
      </c>
      <c r="AD61" s="654">
        <f t="shared" ref="AD61:AD64" si="71">_xlfn.FORECAST.LINEAR($AD$4,$W61:$X61,$W$4:$X$4)</f>
        <v>1.238080608040212</v>
      </c>
      <c r="AF61" s="655">
        <f t="shared" ref="AF61:AF64" si="72">V61/$AD61</f>
        <v>0.80770185196820454</v>
      </c>
      <c r="AG61" s="655">
        <f t="shared" ref="AG61:AG64" si="73">W61/$AD61</f>
        <v>0.9747798999304782</v>
      </c>
      <c r="AH61" s="655">
        <f t="shared" ref="AH61:AH64" si="74">X61/$AD61</f>
        <v>1.0063050250173802</v>
      </c>
      <c r="AI61" s="655">
        <f t="shared" ref="AI61:AI64" si="75">Y61/$AD61</f>
        <v>1.0378301501042824</v>
      </c>
      <c r="AJ61" s="655">
        <f t="shared" ref="AJ61:AJ64" si="76">Z61/$AD61</f>
        <v>1.058063998847993</v>
      </c>
      <c r="AK61" s="655">
        <f t="shared" ref="AK61:AK64" si="77">AA61/$AD61</f>
        <v>1.0782978475917036</v>
      </c>
      <c r="AL61" s="655">
        <f t="shared" ref="AL61:AL64" si="78">AB61/$AD61</f>
        <v>1.0957192710207699</v>
      </c>
      <c r="AM61" s="655">
        <f t="shared" ref="AM61:AM64" si="79">AC61/$AD61</f>
        <v>1.1131406944498363</v>
      </c>
      <c r="AO61" s="519" t="s">
        <v>1111</v>
      </c>
      <c r="AP61" s="520">
        <v>12.405066687804799</v>
      </c>
      <c r="AQ61" s="520">
        <v>11.079673113362597</v>
      </c>
      <c r="AR61" s="520">
        <v>9.2713390042129831</v>
      </c>
      <c r="AS61" s="451">
        <v>8.5519347392531859</v>
      </c>
      <c r="AT61" s="451">
        <v>8.0369288469360249</v>
      </c>
    </row>
    <row r="62" spans="4:46" ht="15" x14ac:dyDescent="0.2">
      <c r="D62" s="399" t="str">
        <f t="shared" si="69"/>
        <v>Large Rigid Truck</v>
      </c>
      <c r="E62" s="442" t="s">
        <v>1149</v>
      </c>
      <c r="F62" s="443">
        <v>55112.329329017077</v>
      </c>
      <c r="G62" s="443">
        <v>63355.677808306173</v>
      </c>
      <c r="H62" s="444">
        <f>AVERAGE(G62,I62)</f>
        <v>64211.520496007477</v>
      </c>
      <c r="I62" s="443">
        <v>65067.363183708781</v>
      </c>
      <c r="J62" s="444">
        <f>AVERAGE(I62,K62)</f>
        <v>65771.712375082017</v>
      </c>
      <c r="K62" s="443">
        <v>66476.061566455261</v>
      </c>
      <c r="L62" s="444">
        <f>AVERAGE(K62,M62)</f>
        <v>67187.356351186958</v>
      </c>
      <c r="M62" s="445">
        <v>67898.65113591867</v>
      </c>
      <c r="N62" s="453">
        <f t="shared" si="70"/>
        <v>1251462.2511156902</v>
      </c>
      <c r="O62" s="454">
        <f t="shared" si="70"/>
        <v>1438647.9420531017</v>
      </c>
      <c r="P62" s="454">
        <f t="shared" si="70"/>
        <v>1458081.9748655683</v>
      </c>
      <c r="Q62" s="454">
        <f t="shared" si="70"/>
        <v>1477516.0076780347</v>
      </c>
      <c r="R62" s="454">
        <f t="shared" si="70"/>
        <v>1493510.0045810719</v>
      </c>
      <c r="S62" s="454">
        <f t="shared" si="70"/>
        <v>1509504.0014841093</v>
      </c>
      <c r="T62" s="454">
        <f t="shared" si="70"/>
        <v>1525655.7153264512</v>
      </c>
      <c r="U62" s="455">
        <f t="shared" si="70"/>
        <v>1541807.4291687931</v>
      </c>
      <c r="V62" s="449">
        <f t="shared" si="12"/>
        <v>1</v>
      </c>
      <c r="W62" s="449">
        <f t="shared" si="13"/>
        <v>1.1495735814408574</v>
      </c>
      <c r="X62" s="449">
        <f t="shared" si="14"/>
        <v>1.165102641782183</v>
      </c>
      <c r="Y62" s="449">
        <f t="shared" si="15"/>
        <v>1.1806317021235084</v>
      </c>
      <c r="Z62" s="449">
        <f t="shared" si="16"/>
        <v>1.1934119493013824</v>
      </c>
      <c r="AA62" s="449">
        <f t="shared" si="17"/>
        <v>1.2061921964792566</v>
      </c>
      <c r="AB62" s="449">
        <f t="shared" si="18"/>
        <v>1.2190984697830995</v>
      </c>
      <c r="AC62" s="449">
        <f t="shared" si="19"/>
        <v>1.232004743086943</v>
      </c>
      <c r="AD62" s="654">
        <f t="shared" si="71"/>
        <v>1.1619968297139174</v>
      </c>
      <c r="AF62" s="655">
        <f t="shared" si="72"/>
        <v>0.86058754587669495</v>
      </c>
      <c r="AG62" s="655">
        <f t="shared" si="73"/>
        <v>0.98930870725687048</v>
      </c>
      <c r="AH62" s="655">
        <f t="shared" si="74"/>
        <v>1.0026728231857829</v>
      </c>
      <c r="AI62" s="655">
        <f t="shared" si="75"/>
        <v>1.0160369391146953</v>
      </c>
      <c r="AJ62" s="655">
        <f t="shared" si="76"/>
        <v>1.0270354606691994</v>
      </c>
      <c r="AK62" s="655">
        <f t="shared" si="77"/>
        <v>1.0380339822237037</v>
      </c>
      <c r="AL62" s="655">
        <f t="shared" si="78"/>
        <v>1.0491409602926718</v>
      </c>
      <c r="AM62" s="655">
        <f t="shared" si="79"/>
        <v>1.0602479383616403</v>
      </c>
      <c r="AO62" s="519" t="s">
        <v>1149</v>
      </c>
      <c r="AP62" s="520">
        <v>11.592916086655798</v>
      </c>
      <c r="AQ62" s="520">
        <v>10.668979752918897</v>
      </c>
      <c r="AR62" s="520">
        <v>8.9261323241626958</v>
      </c>
      <c r="AS62" s="451">
        <v>8.2320162814163229</v>
      </c>
      <c r="AT62" s="451">
        <v>7.7349392758744928</v>
      </c>
    </row>
    <row r="63" spans="4:46" ht="15" x14ac:dyDescent="0.2">
      <c r="D63" s="399" t="str">
        <f t="shared" si="69"/>
        <v>Large Rigid Truck</v>
      </c>
      <c r="E63" s="442" t="s">
        <v>1150</v>
      </c>
      <c r="F63" s="443">
        <v>53843.390822997011</v>
      </c>
      <c r="G63" s="443">
        <v>60435.722060242377</v>
      </c>
      <c r="H63" s="444">
        <f>AVERAGE(G63,I63)</f>
        <v>61828.41076555739</v>
      </c>
      <c r="I63" s="443">
        <v>63221.099470872403</v>
      </c>
      <c r="J63" s="444">
        <f>AVERAGE(I63,K63)</f>
        <v>64515.295789043499</v>
      </c>
      <c r="K63" s="443">
        <v>65809.492107214595</v>
      </c>
      <c r="L63" s="444">
        <f>AVERAGE(K63,M63)</f>
        <v>66611.295610428439</v>
      </c>
      <c r="M63" s="445">
        <v>67413.099113642267</v>
      </c>
      <c r="N63" s="453">
        <f t="shared" si="70"/>
        <v>1222647.8522578445</v>
      </c>
      <c r="O63" s="454">
        <f t="shared" si="70"/>
        <v>1372343.0981439524</v>
      </c>
      <c r="P63" s="454">
        <f t="shared" si="70"/>
        <v>1403967.5524806932</v>
      </c>
      <c r="Q63" s="454">
        <f t="shared" si="70"/>
        <v>1435592.006817434</v>
      </c>
      <c r="R63" s="454">
        <f t="shared" si="70"/>
        <v>1464979.9470014698</v>
      </c>
      <c r="S63" s="454">
        <f t="shared" si="70"/>
        <v>1494367.8871855056</v>
      </c>
      <c r="T63" s="454">
        <f t="shared" si="70"/>
        <v>1512574.8261645143</v>
      </c>
      <c r="U63" s="455">
        <f t="shared" si="70"/>
        <v>1530781.7651435228</v>
      </c>
      <c r="V63" s="449">
        <f t="shared" si="12"/>
        <v>1</v>
      </c>
      <c r="W63" s="449">
        <f t="shared" si="13"/>
        <v>1.1224352912489628</v>
      </c>
      <c r="X63" s="449">
        <f t="shared" si="14"/>
        <v>1.1483008373081494</v>
      </c>
      <c r="Y63" s="449">
        <f t="shared" si="15"/>
        <v>1.1741663833673359</v>
      </c>
      <c r="Z63" s="449">
        <f t="shared" si="16"/>
        <v>1.1982026912296249</v>
      </c>
      <c r="AA63" s="449">
        <f t="shared" si="17"/>
        <v>1.2222389990919136</v>
      </c>
      <c r="AB63" s="449">
        <f t="shared" si="18"/>
        <v>1.2371303997068872</v>
      </c>
      <c r="AC63" s="449">
        <f t="shared" si="19"/>
        <v>1.2520218003218606</v>
      </c>
      <c r="AD63" s="654">
        <f t="shared" si="71"/>
        <v>1.1431277280963119</v>
      </c>
      <c r="AF63" s="655">
        <f t="shared" si="72"/>
        <v>0.87479288221389995</v>
      </c>
      <c r="AG63" s="655">
        <f t="shared" si="73"/>
        <v>0.98189840353027835</v>
      </c>
      <c r="AH63" s="655">
        <f t="shared" si="74"/>
        <v>1.0045253991174306</v>
      </c>
      <c r="AI63" s="655">
        <f t="shared" si="75"/>
        <v>1.0271523947045826</v>
      </c>
      <c r="AJ63" s="655">
        <f t="shared" si="76"/>
        <v>1.0481791857372151</v>
      </c>
      <c r="AK63" s="655">
        <f t="shared" si="77"/>
        <v>1.0692059767698472</v>
      </c>
      <c r="AL63" s="655">
        <f t="shared" si="78"/>
        <v>1.0822328680340219</v>
      </c>
      <c r="AM63" s="655">
        <f t="shared" si="79"/>
        <v>1.0952597592981963</v>
      </c>
      <c r="AO63" s="519" t="s">
        <v>1150</v>
      </c>
      <c r="AP63" s="520">
        <v>11.906238143051901</v>
      </c>
      <c r="AQ63" s="520">
        <v>10.876510016936766</v>
      </c>
      <c r="AR63" s="520">
        <v>9.0326739114615631</v>
      </c>
      <c r="AS63" s="451">
        <v>8.1823161499090808</v>
      </c>
      <c r="AT63" s="451">
        <v>7.6892867494321644</v>
      </c>
    </row>
    <row r="64" spans="4:46" ht="15" x14ac:dyDescent="0.2">
      <c r="D64" s="399" t="str">
        <f t="shared" si="69"/>
        <v>Large Rigid Truck</v>
      </c>
      <c r="E64" s="442" t="s">
        <v>1113</v>
      </c>
      <c r="F64" s="443">
        <v>60548.534703667669</v>
      </c>
      <c r="G64" s="443">
        <v>64511.724805744314</v>
      </c>
      <c r="H64" s="444">
        <f>AVERAGE(G64,I64)</f>
        <v>64827.694446534362</v>
      </c>
      <c r="I64" s="443">
        <v>65143.664087324411</v>
      </c>
      <c r="J64" s="444">
        <f>AVERAGE(I64,K64)</f>
        <v>65658.689390066094</v>
      </c>
      <c r="K64" s="443">
        <v>66173.714692807771</v>
      </c>
      <c r="L64" s="444">
        <f>AVERAGE(K64,M64)</f>
        <v>66632.412207673493</v>
      </c>
      <c r="M64" s="445">
        <v>67091.109722539215</v>
      </c>
      <c r="N64" s="453">
        <f t="shared" si="70"/>
        <v>1374904.7892648717</v>
      </c>
      <c r="O64" s="454">
        <f t="shared" si="70"/>
        <v>1464898.8589608679</v>
      </c>
      <c r="P64" s="454">
        <f t="shared" si="70"/>
        <v>1472073.7340344051</v>
      </c>
      <c r="Q64" s="454">
        <f t="shared" si="70"/>
        <v>1479248.6091079421</v>
      </c>
      <c r="R64" s="454">
        <f t="shared" si="70"/>
        <v>1490943.5371321745</v>
      </c>
      <c r="S64" s="454">
        <f t="shared" si="70"/>
        <v>1502638.4651564066</v>
      </c>
      <c r="T64" s="454">
        <f t="shared" si="70"/>
        <v>1513054.3309258979</v>
      </c>
      <c r="U64" s="455">
        <f t="shared" si="70"/>
        <v>1523470.196695389</v>
      </c>
      <c r="V64" s="449">
        <f t="shared" si="12"/>
        <v>1</v>
      </c>
      <c r="W64" s="449">
        <f t="shared" si="13"/>
        <v>1.0654547648671104</v>
      </c>
      <c r="X64" s="449">
        <f t="shared" si="14"/>
        <v>1.070673217177087</v>
      </c>
      <c r="Y64" s="449">
        <f t="shared" si="15"/>
        <v>1.0758916694870635</v>
      </c>
      <c r="Z64" s="449">
        <f t="shared" si="16"/>
        <v>1.0843976606768138</v>
      </c>
      <c r="AA64" s="449">
        <f t="shared" si="17"/>
        <v>1.0929036518665638</v>
      </c>
      <c r="AB64" s="449">
        <f t="shared" si="18"/>
        <v>1.1004793515446922</v>
      </c>
      <c r="AC64" s="449">
        <f t="shared" si="19"/>
        <v>1.1080550512228207</v>
      </c>
      <c r="AD64" s="654">
        <f t="shared" si="71"/>
        <v>1.0696295267150919</v>
      </c>
      <c r="AF64" s="655">
        <f t="shared" si="72"/>
        <v>0.93490313704322547</v>
      </c>
      <c r="AG64" s="655">
        <f t="shared" si="73"/>
        <v>0.99609700205191376</v>
      </c>
      <c r="AH64" s="655">
        <f t="shared" si="74"/>
        <v>1.0009757494870213</v>
      </c>
      <c r="AI64" s="655">
        <f t="shared" si="75"/>
        <v>1.0058544969221288</v>
      </c>
      <c r="AJ64" s="655">
        <f t="shared" si="76"/>
        <v>1.0138067747690884</v>
      </c>
      <c r="AK64" s="655">
        <f t="shared" si="77"/>
        <v>1.0217590526160476</v>
      </c>
      <c r="AL64" s="655">
        <f t="shared" si="78"/>
        <v>1.0288415980104273</v>
      </c>
      <c r="AM64" s="655">
        <f t="shared" si="79"/>
        <v>1.035924143404807</v>
      </c>
      <c r="AO64" s="519" t="s">
        <v>1113</v>
      </c>
      <c r="AP64" s="520">
        <v>11.279594030259696</v>
      </c>
      <c r="AQ64" s="520">
        <v>10.250985135870808</v>
      </c>
      <c r="AR64" s="520">
        <v>8.4878494853495958</v>
      </c>
      <c r="AS64" s="451">
        <v>7.6889868112501585</v>
      </c>
      <c r="AT64" s="451">
        <v>7.1728144576780375</v>
      </c>
    </row>
    <row r="65" spans="4:46" ht="15" x14ac:dyDescent="0.2">
      <c r="D65" s="399" t="str">
        <f t="shared" si="69"/>
        <v>Large Rigid Truck</v>
      </c>
      <c r="E65" s="442" t="s">
        <v>1117</v>
      </c>
      <c r="F65" s="521"/>
      <c r="G65" s="521"/>
      <c r="H65" s="522"/>
      <c r="I65" s="521"/>
      <c r="J65" s="521"/>
      <c r="K65" s="521"/>
      <c r="L65" s="521"/>
      <c r="M65" s="523"/>
      <c r="N65" s="453">
        <f t="shared" si="70"/>
        <v>0</v>
      </c>
      <c r="O65" s="454">
        <f t="shared" si="70"/>
        <v>0</v>
      </c>
      <c r="P65" s="454">
        <f t="shared" si="70"/>
        <v>0</v>
      </c>
      <c r="Q65" s="454">
        <f t="shared" si="70"/>
        <v>0</v>
      </c>
      <c r="R65" s="454">
        <f t="shared" si="70"/>
        <v>0</v>
      </c>
      <c r="S65" s="454">
        <f t="shared" si="70"/>
        <v>0</v>
      </c>
      <c r="T65" s="454">
        <f t="shared" si="70"/>
        <v>0</v>
      </c>
      <c r="U65" s="455">
        <f t="shared" si="70"/>
        <v>0</v>
      </c>
      <c r="V65" s="449"/>
      <c r="W65" s="449"/>
      <c r="X65" s="449"/>
      <c r="Y65" s="449"/>
      <c r="Z65" s="449"/>
      <c r="AA65" s="449"/>
      <c r="AB65" s="449"/>
      <c r="AC65" s="449"/>
      <c r="AD65" s="654"/>
      <c r="AF65" s="662">
        <f>AF53</f>
        <v>1.6444636859820372</v>
      </c>
      <c r="AG65" s="662">
        <f t="shared" ref="AG65:AM65" si="80">AG53</f>
        <v>1.0794027966757322</v>
      </c>
      <c r="AH65" s="662">
        <f t="shared" si="80"/>
        <v>0.98014930083106599</v>
      </c>
      <c r="AI65" s="662">
        <f t="shared" si="80"/>
        <v>0.88089580498639963</v>
      </c>
      <c r="AJ65" s="662">
        <f t="shared" si="80"/>
        <v>0.8879616688769022</v>
      </c>
      <c r="AK65" s="662">
        <f t="shared" si="80"/>
        <v>0.89502753276740454</v>
      </c>
      <c r="AL65" s="662">
        <f t="shared" si="80"/>
        <v>0.89722658259993482</v>
      </c>
      <c r="AM65" s="662">
        <f t="shared" si="80"/>
        <v>0.89942563243246498</v>
      </c>
      <c r="AO65" s="519" t="s">
        <v>1117</v>
      </c>
      <c r="AP65" s="524"/>
      <c r="AQ65" s="524"/>
      <c r="AR65" s="524"/>
      <c r="AS65" s="524"/>
      <c r="AT65" s="524"/>
    </row>
    <row r="66" spans="4:46" ht="15" x14ac:dyDescent="0.2">
      <c r="D66" s="399" t="str">
        <f t="shared" si="69"/>
        <v>Large Rigid Truck</v>
      </c>
      <c r="E66" s="442" t="s">
        <v>1116</v>
      </c>
      <c r="F66" s="443">
        <v>292693.65031210642</v>
      </c>
      <c r="G66" s="443">
        <v>126916.39701735262</v>
      </c>
      <c r="H66" s="444">
        <f>AVERAGE(G66,I66)</f>
        <v>100600.3377548374</v>
      </c>
      <c r="I66" s="443">
        <v>74284.278492322177</v>
      </c>
      <c r="J66" s="444">
        <f>AVERAGE(I66,K66)</f>
        <v>70838.136827571143</v>
      </c>
      <c r="K66" s="443">
        <v>67391.995162820094</v>
      </c>
      <c r="L66" s="444">
        <f>AVERAGE(K66,M66)</f>
        <v>66131.629714834795</v>
      </c>
      <c r="M66" s="445">
        <v>64871.264266849503</v>
      </c>
      <c r="N66" s="453">
        <f t="shared" si="70"/>
        <v>6646335.9282112597</v>
      </c>
      <c r="O66" s="454">
        <f t="shared" si="70"/>
        <v>2881951.858115403</v>
      </c>
      <c r="P66" s="454">
        <f t="shared" si="70"/>
        <v>2284380.404211686</v>
      </c>
      <c r="Q66" s="454">
        <f t="shared" si="70"/>
        <v>1686808.9503079685</v>
      </c>
      <c r="R66" s="454">
        <f t="shared" si="70"/>
        <v>1608555.7489292668</v>
      </c>
      <c r="S66" s="454">
        <f t="shared" si="70"/>
        <v>1530302.5475505649</v>
      </c>
      <c r="T66" s="454">
        <f t="shared" si="70"/>
        <v>1501682.8212576015</v>
      </c>
      <c r="U66" s="455">
        <f t="shared" si="70"/>
        <v>1473063.0949646386</v>
      </c>
      <c r="V66" s="449">
        <f t="shared" si="12"/>
        <v>1</v>
      </c>
      <c r="W66" s="449">
        <f t="shared" si="13"/>
        <v>0.43361513610568098</v>
      </c>
      <c r="X66" s="449">
        <f t="shared" si="14"/>
        <v>0.34370522779556301</v>
      </c>
      <c r="Y66" s="449">
        <f t="shared" si="15"/>
        <v>0.25379531948544504</v>
      </c>
      <c r="Z66" s="449">
        <f t="shared" si="16"/>
        <v>0.2420214335091817</v>
      </c>
      <c r="AA66" s="449">
        <f t="shared" si="17"/>
        <v>0.23024754753291832</v>
      </c>
      <c r="AB66" s="449">
        <f t="shared" si="18"/>
        <v>0.22594145668796373</v>
      </c>
      <c r="AC66" s="449">
        <f t="shared" si="19"/>
        <v>0.22163536584300916</v>
      </c>
      <c r="AD66" s="654">
        <f t="shared" ref="AD66:AD68" si="81">_xlfn.FORECAST.LINEAR($AD$4,$W66:$X66,$W$4:$X$4)</f>
        <v>0.36168720945757826</v>
      </c>
      <c r="AF66" s="655">
        <f t="shared" ref="AF66:AF68" si="82">V66/$AD66</f>
        <v>2.7648199158043174</v>
      </c>
      <c r="AG66" s="655">
        <f t="shared" ref="AG66:AG68" si="83">W66/$AD66</f>
        <v>1.1988677640991865</v>
      </c>
      <c r="AH66" s="655">
        <f t="shared" ref="AH66:AH68" si="84">X66/$AD66</f>
        <v>0.95028305897523224</v>
      </c>
      <c r="AI66" s="655">
        <f t="shared" ref="AI66:AI68" si="85">Y66/$AD66</f>
        <v>0.70169835385127799</v>
      </c>
      <c r="AJ66" s="655">
        <f t="shared" ref="AJ66:AJ68" si="86">Z66/$AD66</f>
        <v>0.66914567941769598</v>
      </c>
      <c r="AK66" s="655">
        <f t="shared" ref="AK66:AK68" si="87">AA66/$AD66</f>
        <v>0.63659300498411375</v>
      </c>
      <c r="AL66" s="655">
        <f t="shared" ref="AL66:AL68" si="88">AB66/$AD66</f>
        <v>0.62468743925672066</v>
      </c>
      <c r="AM66" s="655">
        <f t="shared" ref="AM66:AM68" si="89">AC66/$AD66</f>
        <v>0.61278187352932767</v>
      </c>
      <c r="AO66" s="519" t="s">
        <v>1116</v>
      </c>
      <c r="AP66" s="520">
        <v>5.8799360656642294</v>
      </c>
      <c r="AQ66" s="520">
        <v>5.1384619025703593</v>
      </c>
      <c r="AR66" s="520">
        <v>4.3850309801444771</v>
      </c>
      <c r="AS66" s="451">
        <v>3.8570288709298688</v>
      </c>
      <c r="AT66" s="451">
        <v>3.5111901737732367</v>
      </c>
    </row>
    <row r="67" spans="4:46" ht="15" x14ac:dyDescent="0.2">
      <c r="D67" s="399" t="str">
        <f t="shared" si="69"/>
        <v>Large Rigid Truck</v>
      </c>
      <c r="E67" s="442" t="s">
        <v>1151</v>
      </c>
      <c r="F67" s="443">
        <v>68809.385894341656</v>
      </c>
      <c r="G67" s="443">
        <v>70106.798675499071</v>
      </c>
      <c r="H67" s="444">
        <f>AVERAGE(G67,I67)</f>
        <v>70569.517955277915</v>
      </c>
      <c r="I67" s="443">
        <v>71032.23723505676</v>
      </c>
      <c r="J67" s="444">
        <f>AVERAGE(I67,K67)</f>
        <v>71565.952590109926</v>
      </c>
      <c r="K67" s="443">
        <v>72099.667945163092</v>
      </c>
      <c r="L67" s="444">
        <f>AVERAGE(K67,M67)</f>
        <v>72698.573202554719</v>
      </c>
      <c r="M67" s="445">
        <v>73297.478459946346</v>
      </c>
      <c r="N67" s="453">
        <f t="shared" si="70"/>
        <v>1562487.9227139144</v>
      </c>
      <c r="O67" s="454">
        <f t="shared" si="70"/>
        <v>1591948.900674769</v>
      </c>
      <c r="P67" s="454">
        <f t="shared" si="70"/>
        <v>1602456.0906004498</v>
      </c>
      <c r="Q67" s="454">
        <f t="shared" si="70"/>
        <v>1612963.2805261309</v>
      </c>
      <c r="R67" s="454">
        <f t="shared" si="70"/>
        <v>1625082.6125852494</v>
      </c>
      <c r="S67" s="454">
        <f t="shared" si="70"/>
        <v>1637201.9446443676</v>
      </c>
      <c r="T67" s="454">
        <f t="shared" si="70"/>
        <v>1650801.5752668702</v>
      </c>
      <c r="U67" s="455">
        <f t="shared" si="70"/>
        <v>1664401.2058893729</v>
      </c>
      <c r="V67" s="449">
        <f t="shared" si="12"/>
        <v>1</v>
      </c>
      <c r="W67" s="449">
        <f t="shared" si="13"/>
        <v>1.0188551716353003</v>
      </c>
      <c r="X67" s="449">
        <f t="shared" si="14"/>
        <v>1.0255798251656973</v>
      </c>
      <c r="Y67" s="449">
        <f t="shared" si="15"/>
        <v>1.0323044786960944</v>
      </c>
      <c r="Z67" s="449">
        <f t="shared" si="16"/>
        <v>1.0400609111669887</v>
      </c>
      <c r="AA67" s="449">
        <f t="shared" si="17"/>
        <v>1.047817343637883</v>
      </c>
      <c r="AB67" s="449">
        <f t="shared" si="18"/>
        <v>1.0565211745122243</v>
      </c>
      <c r="AC67" s="449">
        <f t="shared" si="19"/>
        <v>1.0652250053865653</v>
      </c>
      <c r="AD67" s="654">
        <f t="shared" si="81"/>
        <v>1.024234894459618</v>
      </c>
      <c r="AF67" s="655">
        <f t="shared" si="82"/>
        <v>0.97633853856111374</v>
      </c>
      <c r="AG67" s="655">
        <f t="shared" si="83"/>
        <v>0.99474756927984176</v>
      </c>
      <c r="AH67" s="655">
        <f t="shared" si="84"/>
        <v>1.0013131076800394</v>
      </c>
      <c r="AI67" s="655">
        <f t="shared" si="85"/>
        <v>1.0078786460802371</v>
      </c>
      <c r="AJ67" s="655">
        <f t="shared" si="86"/>
        <v>1.0154515500233181</v>
      </c>
      <c r="AK67" s="655">
        <f t="shared" si="87"/>
        <v>1.0230244539663991</v>
      </c>
      <c r="AL67" s="655">
        <f t="shared" si="88"/>
        <v>1.0315223394821365</v>
      </c>
      <c r="AM67" s="655">
        <f t="shared" si="89"/>
        <v>1.0400202249978736</v>
      </c>
      <c r="AO67" s="519" t="s">
        <v>1151</v>
      </c>
      <c r="AP67" s="520">
        <v>12.405066687804799</v>
      </c>
      <c r="AQ67" s="520">
        <v>11.079673113362597</v>
      </c>
      <c r="AR67" s="520">
        <v>9.2713390042129831</v>
      </c>
      <c r="AS67" s="451">
        <v>8.5519347392531859</v>
      </c>
      <c r="AT67" s="451">
        <v>8.0369288469360249</v>
      </c>
    </row>
    <row r="68" spans="4:46" ht="15" x14ac:dyDescent="0.2">
      <c r="D68" s="399" t="str">
        <f t="shared" si="69"/>
        <v>Large Rigid Truck</v>
      </c>
      <c r="E68" s="442" t="s">
        <v>1115</v>
      </c>
      <c r="F68" s="443">
        <v>65490.011555435871</v>
      </c>
      <c r="G68" s="443">
        <v>66913.111037795607</v>
      </c>
      <c r="H68" s="444">
        <f>AVERAGE(G68,I68)</f>
        <v>67298.356045769819</v>
      </c>
      <c r="I68" s="443">
        <v>67683.601053744045</v>
      </c>
      <c r="J68" s="444">
        <f>AVERAGE(I68,K68)</f>
        <v>68223.882646024198</v>
      </c>
      <c r="K68" s="443">
        <v>68764.164238304336</v>
      </c>
      <c r="L68" s="444">
        <f>AVERAGE(K68,M68)</f>
        <v>69365.534458309019</v>
      </c>
      <c r="M68" s="445">
        <v>69966.904678313702</v>
      </c>
      <c r="N68" s="453">
        <f t="shared" si="70"/>
        <v>1487113.2881623034</v>
      </c>
      <c r="O68" s="454">
        <f t="shared" si="70"/>
        <v>1519428.2946851326</v>
      </c>
      <c r="P68" s="454">
        <f t="shared" si="70"/>
        <v>1528176.2389433449</v>
      </c>
      <c r="Q68" s="454">
        <f t="shared" si="70"/>
        <v>1536924.1832015577</v>
      </c>
      <c r="R68" s="454">
        <f t="shared" si="70"/>
        <v>1549192.6179772823</v>
      </c>
      <c r="S68" s="454">
        <f t="shared" si="70"/>
        <v>1561461.0527530063</v>
      </c>
      <c r="T68" s="454">
        <f t="shared" si="70"/>
        <v>1575116.6564707891</v>
      </c>
      <c r="U68" s="455">
        <f t="shared" si="70"/>
        <v>1588772.2601885719</v>
      </c>
      <c r="V68" s="449">
        <f t="shared" si="12"/>
        <v>1</v>
      </c>
      <c r="W68" s="449">
        <f t="shared" si="13"/>
        <v>1.0217300233815827</v>
      </c>
      <c r="X68" s="449">
        <f t="shared" si="14"/>
        <v>1.0276125236106153</v>
      </c>
      <c r="Y68" s="449">
        <f t="shared" si="15"/>
        <v>1.0334950238396483</v>
      </c>
      <c r="Z68" s="449">
        <f t="shared" si="16"/>
        <v>1.0417448558284979</v>
      </c>
      <c r="AA68" s="449">
        <f t="shared" si="17"/>
        <v>1.0499946878173469</v>
      </c>
      <c r="AB68" s="449">
        <f t="shared" si="18"/>
        <v>1.0591773128577417</v>
      </c>
      <c r="AC68" s="449">
        <f t="shared" si="19"/>
        <v>1.0683599378981363</v>
      </c>
      <c r="AD68" s="654">
        <f t="shared" si="81"/>
        <v>1.0264360235648089</v>
      </c>
      <c r="AF68" s="655">
        <f t="shared" si="82"/>
        <v>0.97424484044022863</v>
      </c>
      <c r="AG68" s="655">
        <f t="shared" si="83"/>
        <v>0.99541520360238112</v>
      </c>
      <c r="AH68" s="655">
        <f t="shared" si="84"/>
        <v>1.0011461990994046</v>
      </c>
      <c r="AI68" s="655">
        <f t="shared" si="85"/>
        <v>1.0068771945964285</v>
      </c>
      <c r="AJ68" s="655">
        <f t="shared" si="86"/>
        <v>1.014914550846064</v>
      </c>
      <c r="AK68" s="655">
        <f t="shared" si="87"/>
        <v>1.0229519070956989</v>
      </c>
      <c r="AL68" s="655">
        <f t="shared" si="88"/>
        <v>1.0318980321630007</v>
      </c>
      <c r="AM68" s="655">
        <f t="shared" si="89"/>
        <v>1.0408441572303024</v>
      </c>
      <c r="AO68" s="519" t="s">
        <v>1115</v>
      </c>
      <c r="AP68" s="520">
        <v>14.265826690975519</v>
      </c>
      <c r="AQ68" s="520">
        <v>12.741624080366986</v>
      </c>
      <c r="AR68" s="520">
        <v>10.662039854844934</v>
      </c>
      <c r="AS68" s="451">
        <v>9.8347249501411635</v>
      </c>
      <c r="AT68" s="451">
        <v>9.2424681739764267</v>
      </c>
    </row>
    <row r="69" spans="4:46" ht="15" x14ac:dyDescent="0.2">
      <c r="D69" s="399" t="str">
        <f t="shared" si="69"/>
        <v>Large Rigid Truck</v>
      </c>
      <c r="E69" s="503"/>
      <c r="H69" s="444"/>
      <c r="M69" s="408"/>
      <c r="N69" s="439"/>
      <c r="U69" s="413"/>
      <c r="V69" s="449"/>
      <c r="W69" s="449"/>
      <c r="X69" s="449"/>
      <c r="Y69" s="449"/>
      <c r="Z69" s="449"/>
      <c r="AA69" s="449"/>
      <c r="AB69" s="449"/>
      <c r="AC69" s="449"/>
      <c r="AD69" s="654"/>
      <c r="AF69" s="655"/>
      <c r="AG69" s="655"/>
      <c r="AH69" s="655"/>
      <c r="AI69" s="655"/>
      <c r="AJ69" s="655"/>
      <c r="AK69" s="655"/>
      <c r="AL69" s="655"/>
      <c r="AM69" s="655"/>
    </row>
    <row r="70" spans="4:46" ht="15" x14ac:dyDescent="0.2">
      <c r="D70" s="399" t="str">
        <f t="shared" si="69"/>
        <v>Large Rigid Truck</v>
      </c>
      <c r="E70" s="525" t="s">
        <v>1128</v>
      </c>
      <c r="F70" s="526" t="s">
        <v>1129</v>
      </c>
      <c r="G70" s="527">
        <v>0.08</v>
      </c>
      <c r="H70" s="528"/>
      <c r="M70" s="408"/>
      <c r="N70" s="439"/>
      <c r="U70" s="413"/>
      <c r="V70" s="449"/>
      <c r="W70" s="449"/>
      <c r="X70" s="449"/>
      <c r="Y70" s="449"/>
      <c r="Z70" s="449"/>
      <c r="AA70" s="449"/>
      <c r="AB70" s="449"/>
      <c r="AC70" s="449"/>
      <c r="AD70" s="654"/>
      <c r="AF70" s="655"/>
      <c r="AG70" s="655"/>
      <c r="AH70" s="655"/>
      <c r="AI70" s="655"/>
      <c r="AJ70" s="655"/>
      <c r="AK70" s="655"/>
      <c r="AL70" s="655"/>
      <c r="AM70" s="655"/>
      <c r="AO70" s="529" t="s">
        <v>1131</v>
      </c>
    </row>
    <row r="71" spans="4:46" ht="15" x14ac:dyDescent="0.2">
      <c r="D71" s="399" t="str">
        <f>E71</f>
        <v>Articulated Truck</v>
      </c>
      <c r="E71" s="530" t="s">
        <v>1123</v>
      </c>
      <c r="F71" s="427">
        <v>2010</v>
      </c>
      <c r="G71" s="427">
        <v>2020</v>
      </c>
      <c r="H71" s="471"/>
      <c r="I71" s="427">
        <v>2030</v>
      </c>
      <c r="J71" s="427"/>
      <c r="K71" s="427">
        <v>2040</v>
      </c>
      <c r="L71" s="427"/>
      <c r="M71" s="430">
        <v>2050</v>
      </c>
      <c r="N71" s="431" t="e">
        <f>#REF!</f>
        <v>#REF!</v>
      </c>
      <c r="O71" s="432" t="e">
        <f>#REF!</f>
        <v>#REF!</v>
      </c>
      <c r="P71" s="432" t="e">
        <f>#REF!</f>
        <v>#REF!</v>
      </c>
      <c r="Q71" s="432" t="e">
        <f>#REF!</f>
        <v>#REF!</v>
      </c>
      <c r="R71" s="432" t="e">
        <f>#REF!</f>
        <v>#REF!</v>
      </c>
      <c r="S71" s="432" t="e">
        <f>#REF!</f>
        <v>#REF!</v>
      </c>
      <c r="T71" s="432" t="e">
        <f>#REF!</f>
        <v>#REF!</v>
      </c>
      <c r="U71" s="433" t="e">
        <f>#REF!</f>
        <v>#REF!</v>
      </c>
      <c r="V71" s="449"/>
      <c r="W71" s="449"/>
      <c r="X71" s="449"/>
      <c r="Y71" s="449"/>
      <c r="Z71" s="449"/>
      <c r="AA71" s="449"/>
      <c r="AB71" s="449"/>
      <c r="AC71" s="449"/>
      <c r="AD71" s="654"/>
      <c r="AF71" s="655"/>
      <c r="AG71" s="655"/>
      <c r="AH71" s="655"/>
      <c r="AI71" s="655"/>
      <c r="AJ71" s="655"/>
      <c r="AK71" s="655"/>
      <c r="AL71" s="655"/>
      <c r="AM71" s="655"/>
      <c r="AO71" s="531" t="s">
        <v>1152</v>
      </c>
      <c r="AP71" s="427">
        <v>2010</v>
      </c>
      <c r="AQ71" s="427">
        <v>2020</v>
      </c>
      <c r="AR71" s="427">
        <v>2030</v>
      </c>
      <c r="AS71" s="427">
        <v>2040</v>
      </c>
      <c r="AT71" s="427">
        <v>2050</v>
      </c>
    </row>
    <row r="72" spans="4:46" ht="15" x14ac:dyDescent="0.2">
      <c r="D72" s="399" t="str">
        <f t="shared" ref="D72:D82" si="90">D71</f>
        <v>Articulated Truck</v>
      </c>
      <c r="E72" s="532" t="s">
        <v>1135</v>
      </c>
      <c r="F72" s="533" t="s">
        <v>878</v>
      </c>
      <c r="G72" s="534" t="s">
        <v>878</v>
      </c>
      <c r="H72" s="535"/>
      <c r="I72" s="536" t="s">
        <v>878</v>
      </c>
      <c r="J72" s="536"/>
      <c r="K72" s="537" t="s">
        <v>878</v>
      </c>
      <c r="L72" s="537"/>
      <c r="M72" s="538" t="s">
        <v>878</v>
      </c>
      <c r="N72" s="439" t="s">
        <v>1137</v>
      </c>
      <c r="O72" s="412" t="s">
        <v>1137</v>
      </c>
      <c r="P72" s="412" t="s">
        <v>1137</v>
      </c>
      <c r="Q72" s="412" t="s">
        <v>1137</v>
      </c>
      <c r="R72" s="412" t="s">
        <v>1137</v>
      </c>
      <c r="S72" s="412" t="s">
        <v>1137</v>
      </c>
      <c r="T72" s="412" t="s">
        <v>1137</v>
      </c>
      <c r="U72" s="413" t="s">
        <v>1137</v>
      </c>
      <c r="V72" s="449"/>
      <c r="W72" s="449"/>
      <c r="X72" s="449"/>
      <c r="Y72" s="449"/>
      <c r="Z72" s="449"/>
      <c r="AA72" s="449"/>
      <c r="AB72" s="449"/>
      <c r="AC72" s="449"/>
      <c r="AD72" s="654"/>
      <c r="AF72" s="655"/>
      <c r="AG72" s="655"/>
      <c r="AH72" s="655"/>
      <c r="AI72" s="655"/>
      <c r="AJ72" s="655"/>
      <c r="AK72" s="655"/>
      <c r="AL72" s="655"/>
      <c r="AM72" s="655"/>
      <c r="AO72" s="539" t="s">
        <v>1139</v>
      </c>
      <c r="AP72" s="540" t="s">
        <v>1140</v>
      </c>
      <c r="AQ72" s="541" t="s">
        <v>1140</v>
      </c>
      <c r="AR72" s="541" t="s">
        <v>1140</v>
      </c>
      <c r="AS72" s="542" t="s">
        <v>1140</v>
      </c>
      <c r="AT72" s="543" t="s">
        <v>1140</v>
      </c>
    </row>
    <row r="73" spans="4:46" ht="15" x14ac:dyDescent="0.2">
      <c r="D73" s="399" t="str">
        <f t="shared" si="90"/>
        <v>Articulated Truck</v>
      </c>
      <c r="E73" s="544" t="s">
        <v>1111</v>
      </c>
      <c r="F73" s="545">
        <v>61438.455349959782</v>
      </c>
      <c r="G73" s="546">
        <v>76189.319195648335</v>
      </c>
      <c r="H73" s="444">
        <f>AVERAGE(G73,I73)</f>
        <v>78158.609203405707</v>
      </c>
      <c r="I73" s="547">
        <v>80127.899211163094</v>
      </c>
      <c r="J73" s="444">
        <f>AVERAGE(I73,K73)</f>
        <v>81664.896234069121</v>
      </c>
      <c r="K73" s="548">
        <v>83201.893256975149</v>
      </c>
      <c r="L73" s="444">
        <f>AVERAGE(K73,M73)</f>
        <v>84156.77422554222</v>
      </c>
      <c r="M73" s="549">
        <v>85111.655194109291</v>
      </c>
      <c r="N73" s="453">
        <f t="shared" ref="N73:U80" si="91">F73*$E$2*$O$2</f>
        <v>1395112.6467240318</v>
      </c>
      <c r="O73" s="454">
        <f t="shared" si="91"/>
        <v>1730067.6286486848</v>
      </c>
      <c r="P73" s="454">
        <f t="shared" si="91"/>
        <v>1774785.2469423125</v>
      </c>
      <c r="Q73" s="454">
        <f t="shared" si="91"/>
        <v>1819502.8652359401</v>
      </c>
      <c r="R73" s="454">
        <f t="shared" si="91"/>
        <v>1854404.1981620255</v>
      </c>
      <c r="S73" s="454">
        <f t="shared" si="91"/>
        <v>1889305.531088111</v>
      </c>
      <c r="T73" s="454">
        <f t="shared" si="91"/>
        <v>1910988.4739253921</v>
      </c>
      <c r="U73" s="455">
        <f t="shared" si="91"/>
        <v>1932671.4167626728</v>
      </c>
      <c r="V73" s="449">
        <f t="shared" ref="V73:V104" si="92">F73/$F73</f>
        <v>1</v>
      </c>
      <c r="W73" s="449">
        <f t="shared" ref="W73:W104" si="93">G73/$F73</f>
        <v>1.2400917106666518</v>
      </c>
      <c r="X73" s="449">
        <f t="shared" ref="X73:X104" si="94">H73/$F73</f>
        <v>1.272144762725661</v>
      </c>
      <c r="Y73" s="449">
        <f t="shared" ref="Y73:Y104" si="95">I73/$F73</f>
        <v>1.3041978147846705</v>
      </c>
      <c r="Z73" s="449">
        <f t="shared" ref="Z73:Z104" si="96">J73/$F73</f>
        <v>1.3292146713145283</v>
      </c>
      <c r="AA73" s="449">
        <f t="shared" ref="AA73:AA104" si="97">K73/$F73</f>
        <v>1.3542315278443864</v>
      </c>
      <c r="AB73" s="449">
        <f t="shared" ref="AB73:AB104" si="98">L73/$F73</f>
        <v>1.3697736010154642</v>
      </c>
      <c r="AC73" s="449">
        <f t="shared" ref="AC73:AC104" si="99">M73/$F73</f>
        <v>1.385315674186542</v>
      </c>
      <c r="AD73" s="654">
        <f t="shared" ref="AD73:AD76" si="100">_xlfn.FORECAST.LINEAR($AD$4,$W73:$X73,$W$4:$X$4)</f>
        <v>1.2657341523138594</v>
      </c>
      <c r="AF73" s="655">
        <f t="shared" ref="AF73:AF76" si="101">V73/$AD73</f>
        <v>0.79005531941436757</v>
      </c>
      <c r="AG73" s="655">
        <f t="shared" ref="AG73:AG76" si="102">W73/$AD73</f>
        <v>0.97974105257385113</v>
      </c>
      <c r="AH73" s="655">
        <f t="shared" ref="AH73:AH76" si="103">X73/$AD73</f>
        <v>1.0050647368565369</v>
      </c>
      <c r="AI73" s="655">
        <f t="shared" ref="AI73:AI76" si="104">Y73/$AD73</f>
        <v>1.0303884211392229</v>
      </c>
      <c r="AJ73" s="655">
        <f t="shared" ref="AJ73:AJ76" si="105">Z73/$AD73</f>
        <v>1.0501531217156632</v>
      </c>
      <c r="AK73" s="655">
        <f t="shared" ref="AK73:AK76" si="106">AA73/$AD73</f>
        <v>1.0699178222921037</v>
      </c>
      <c r="AL73" s="655">
        <f t="shared" ref="AL73:AL76" si="107">AB73/$AD73</f>
        <v>1.0821969198756412</v>
      </c>
      <c r="AM73" s="655">
        <f t="shared" ref="AM73:AM76" si="108">AC73/$AD73</f>
        <v>1.0944760174591783</v>
      </c>
      <c r="AO73" s="550" t="s">
        <v>1111</v>
      </c>
      <c r="AP73" s="551">
        <v>13.986475102643237</v>
      </c>
      <c r="AQ73" s="552">
        <v>11.823955736426605</v>
      </c>
      <c r="AR73" s="553">
        <v>9.4051912571814107</v>
      </c>
      <c r="AS73" s="554">
        <v>8.5108552099213703</v>
      </c>
      <c r="AT73" s="555">
        <v>7.9094469544802353</v>
      </c>
    </row>
    <row r="74" spans="4:46" ht="15" x14ac:dyDescent="0.2">
      <c r="D74" s="399" t="str">
        <f t="shared" si="90"/>
        <v>Articulated Truck</v>
      </c>
      <c r="E74" s="544" t="s">
        <v>1149</v>
      </c>
      <c r="F74" s="545">
        <v>71519.017709285879</v>
      </c>
      <c r="G74" s="546">
        <v>82868.061177701951</v>
      </c>
      <c r="H74" s="444">
        <f>AVERAGE(G74,I74)</f>
        <v>83553.372707554401</v>
      </c>
      <c r="I74" s="547">
        <v>84238.684237406866</v>
      </c>
      <c r="J74" s="444">
        <f>AVERAGE(I74,K74)</f>
        <v>85152.604738545953</v>
      </c>
      <c r="K74" s="548">
        <v>86066.525239685056</v>
      </c>
      <c r="L74" s="444">
        <f>AVERAGE(K74,M74)</f>
        <v>86618.501260388264</v>
      </c>
      <c r="M74" s="549">
        <v>87170.477281091473</v>
      </c>
      <c r="N74" s="453">
        <f t="shared" si="91"/>
        <v>1624016.8396025607</v>
      </c>
      <c r="O74" s="454">
        <f t="shared" si="91"/>
        <v>1881725.045006172</v>
      </c>
      <c r="P74" s="454">
        <f t="shared" si="91"/>
        <v>1897286.7445443028</v>
      </c>
      <c r="Q74" s="454">
        <f t="shared" si="91"/>
        <v>1912848.4440824341</v>
      </c>
      <c r="R74" s="454">
        <f t="shared" si="91"/>
        <v>1933601.2778243772</v>
      </c>
      <c r="S74" s="454">
        <f t="shared" si="91"/>
        <v>1954354.1115663205</v>
      </c>
      <c r="T74" s="454">
        <f t="shared" si="91"/>
        <v>1966888.097370245</v>
      </c>
      <c r="U74" s="455">
        <f t="shared" si="91"/>
        <v>1979422.0831741695</v>
      </c>
      <c r="V74" s="449">
        <f t="shared" si="92"/>
        <v>1</v>
      </c>
      <c r="W74" s="449">
        <f t="shared" si="93"/>
        <v>1.1586856731526745</v>
      </c>
      <c r="X74" s="449">
        <f t="shared" si="94"/>
        <v>1.1682679010943129</v>
      </c>
      <c r="Y74" s="449">
        <f t="shared" si="95"/>
        <v>1.1778501290359513</v>
      </c>
      <c r="Z74" s="449">
        <f t="shared" si="96"/>
        <v>1.1906288350418706</v>
      </c>
      <c r="AA74" s="449">
        <f t="shared" si="97"/>
        <v>1.2034075410477898</v>
      </c>
      <c r="AB74" s="449">
        <f t="shared" si="98"/>
        <v>1.2111254325734664</v>
      </c>
      <c r="AC74" s="449">
        <f t="shared" si="99"/>
        <v>1.218843324099143</v>
      </c>
      <c r="AD74" s="654">
        <f t="shared" si="100"/>
        <v>1.1663514555059851</v>
      </c>
      <c r="AF74" s="655">
        <f t="shared" si="101"/>
        <v>0.85737450343917243</v>
      </c>
      <c r="AG74" s="655">
        <f t="shared" si="102"/>
        <v>0.99342755366135749</v>
      </c>
      <c r="AH74" s="655">
        <f t="shared" si="103"/>
        <v>1.0016431115846607</v>
      </c>
      <c r="AI74" s="655">
        <f t="shared" si="104"/>
        <v>1.0098586695079639</v>
      </c>
      <c r="AJ74" s="655">
        <f t="shared" si="105"/>
        <v>1.0208148062243843</v>
      </c>
      <c r="AK74" s="655">
        <f t="shared" si="106"/>
        <v>1.0317709429408044</v>
      </c>
      <c r="AL74" s="655">
        <f t="shared" si="107"/>
        <v>1.0383880663552287</v>
      </c>
      <c r="AM74" s="655">
        <f t="shared" si="108"/>
        <v>1.0450051897696531</v>
      </c>
      <c r="AO74" s="550" t="s">
        <v>1149</v>
      </c>
      <c r="AP74" s="551">
        <v>13.43635651388575</v>
      </c>
      <c r="AQ74" s="552">
        <v>11.499496833579821</v>
      </c>
      <c r="AR74" s="553">
        <v>9.2372475409011443</v>
      </c>
      <c r="AS74" s="554">
        <v>8.420943246552639</v>
      </c>
      <c r="AT74" s="555">
        <v>7.8443809051712092</v>
      </c>
    </row>
    <row r="75" spans="4:46" ht="15" x14ac:dyDescent="0.2">
      <c r="D75" s="399" t="str">
        <f t="shared" si="90"/>
        <v>Articulated Truck</v>
      </c>
      <c r="E75" s="544" t="s">
        <v>1150</v>
      </c>
      <c r="F75" s="545">
        <v>72430.316493429389</v>
      </c>
      <c r="G75" s="546">
        <v>80647.640586419409</v>
      </c>
      <c r="H75" s="444">
        <f>AVERAGE(G75,I75)</f>
        <v>81820.543046750536</v>
      </c>
      <c r="I75" s="547">
        <v>82993.445507081677</v>
      </c>
      <c r="J75" s="444">
        <f>AVERAGE(I75,K75)</f>
        <v>84278.475675657799</v>
      </c>
      <c r="K75" s="548">
        <v>85563.505844233921</v>
      </c>
      <c r="L75" s="444">
        <f>AVERAGE(K75,M75)</f>
        <v>86191.612305198825</v>
      </c>
      <c r="M75" s="549">
        <v>86819.718766163729</v>
      </c>
      <c r="N75" s="453">
        <f t="shared" si="91"/>
        <v>1644710.1407518331</v>
      </c>
      <c r="O75" s="454">
        <f t="shared" si="91"/>
        <v>1831304.8833940399</v>
      </c>
      <c r="P75" s="454">
        <f t="shared" si="91"/>
        <v>1857938.5454296654</v>
      </c>
      <c r="Q75" s="454">
        <f t="shared" si="91"/>
        <v>1884572.207465291</v>
      </c>
      <c r="R75" s="454">
        <f t="shared" si="91"/>
        <v>1913752.0074682483</v>
      </c>
      <c r="S75" s="454">
        <f t="shared" si="91"/>
        <v>1942931.8074712059</v>
      </c>
      <c r="T75" s="454">
        <f t="shared" si="91"/>
        <v>1957194.5239114198</v>
      </c>
      <c r="U75" s="455">
        <f t="shared" si="91"/>
        <v>1971457.2403516336</v>
      </c>
      <c r="V75" s="449">
        <f t="shared" si="92"/>
        <v>1</v>
      </c>
      <c r="W75" s="449">
        <f t="shared" si="93"/>
        <v>1.1134514453452025</v>
      </c>
      <c r="X75" s="449">
        <f t="shared" si="94"/>
        <v>1.1296449747554671</v>
      </c>
      <c r="Y75" s="449">
        <f t="shared" si="95"/>
        <v>1.145838504165732</v>
      </c>
      <c r="Z75" s="449">
        <f t="shared" si="96"/>
        <v>1.1635801105922716</v>
      </c>
      <c r="AA75" s="449">
        <f t="shared" si="97"/>
        <v>1.1813217170188111</v>
      </c>
      <c r="AB75" s="449">
        <f t="shared" si="98"/>
        <v>1.1899935893973046</v>
      </c>
      <c r="AC75" s="449">
        <f t="shared" si="99"/>
        <v>1.1986654617757979</v>
      </c>
      <c r="AD75" s="654">
        <f t="shared" si="100"/>
        <v>1.1264062688734144</v>
      </c>
      <c r="AF75" s="655">
        <f t="shared" si="101"/>
        <v>0.88777915005760677</v>
      </c>
      <c r="AG75" s="655">
        <f t="shared" si="102"/>
        <v>0.98849897777897766</v>
      </c>
      <c r="AH75" s="655">
        <f t="shared" si="103"/>
        <v>1.0028752555552554</v>
      </c>
      <c r="AI75" s="655">
        <f t="shared" si="104"/>
        <v>1.0172515333315331</v>
      </c>
      <c r="AJ75" s="655">
        <f t="shared" si="105"/>
        <v>1.0330021616055429</v>
      </c>
      <c r="AK75" s="655">
        <f t="shared" si="106"/>
        <v>1.0487527898795528</v>
      </c>
      <c r="AL75" s="655">
        <f t="shared" si="107"/>
        <v>1.0564514973691399</v>
      </c>
      <c r="AM75" s="655">
        <f t="shared" si="108"/>
        <v>1.0641502048587266</v>
      </c>
      <c r="AO75" s="550" t="s">
        <v>1150</v>
      </c>
      <c r="AP75" s="551">
        <v>13.67208206676094</v>
      </c>
      <c r="AQ75" s="552">
        <v>11.614948912943206</v>
      </c>
      <c r="AR75" s="553">
        <v>9.2610945034038004</v>
      </c>
      <c r="AS75" s="554">
        <v>8.3678593497915177</v>
      </c>
      <c r="AT75" s="555">
        <v>7.7956092782623534</v>
      </c>
    </row>
    <row r="76" spans="4:46" ht="15" x14ac:dyDescent="0.2">
      <c r="D76" s="399" t="str">
        <f t="shared" si="90"/>
        <v>Articulated Truck</v>
      </c>
      <c r="E76" s="544" t="s">
        <v>1113</v>
      </c>
      <c r="F76" s="545">
        <v>78558.735528526551</v>
      </c>
      <c r="G76" s="546">
        <v>83540.115075807422</v>
      </c>
      <c r="H76" s="444">
        <f>AVERAGE(G76,I76)</f>
        <v>83801.904253179775</v>
      </c>
      <c r="I76" s="547">
        <v>84063.693430552128</v>
      </c>
      <c r="J76" s="444">
        <f>AVERAGE(I76,K76)</f>
        <v>84674.578944708279</v>
      </c>
      <c r="K76" s="548">
        <v>85285.464458864444</v>
      </c>
      <c r="L76" s="444">
        <f>AVERAGE(K76,M76)</f>
        <v>85777.229217547516</v>
      </c>
      <c r="M76" s="549">
        <v>86268.993976230602</v>
      </c>
      <c r="N76" s="453">
        <f t="shared" si="91"/>
        <v>1783871.1084484912</v>
      </c>
      <c r="O76" s="454">
        <f t="shared" si="91"/>
        <v>1896985.6971040559</v>
      </c>
      <c r="P76" s="454">
        <f t="shared" si="91"/>
        <v>1902930.270255306</v>
      </c>
      <c r="Q76" s="454">
        <f t="shared" si="91"/>
        <v>1908874.8434065564</v>
      </c>
      <c r="R76" s="454">
        <f t="shared" si="91"/>
        <v>1922746.5154993071</v>
      </c>
      <c r="S76" s="454">
        <f t="shared" si="91"/>
        <v>1936618.1875920582</v>
      </c>
      <c r="T76" s="454">
        <f t="shared" si="91"/>
        <v>1947784.9272202607</v>
      </c>
      <c r="U76" s="455">
        <f t="shared" si="91"/>
        <v>1958951.6668484637</v>
      </c>
      <c r="V76" s="449">
        <f t="shared" si="92"/>
        <v>1</v>
      </c>
      <c r="W76" s="449">
        <f t="shared" si="93"/>
        <v>1.0634096197420593</v>
      </c>
      <c r="X76" s="449">
        <f t="shared" si="94"/>
        <v>1.0667420203415736</v>
      </c>
      <c r="Y76" s="449">
        <f t="shared" si="95"/>
        <v>1.070074420941088</v>
      </c>
      <c r="Z76" s="449">
        <f t="shared" si="96"/>
        <v>1.0778505837070267</v>
      </c>
      <c r="AA76" s="449">
        <f t="shared" si="97"/>
        <v>1.0856267464729656</v>
      </c>
      <c r="AB76" s="449">
        <f t="shared" si="98"/>
        <v>1.0918865819371515</v>
      </c>
      <c r="AC76" s="449">
        <f t="shared" si="99"/>
        <v>1.0981464174013376</v>
      </c>
      <c r="AD76" s="654">
        <f t="shared" si="100"/>
        <v>1.0660755402216706</v>
      </c>
      <c r="AF76" s="655">
        <f t="shared" si="101"/>
        <v>0.93801983280853496</v>
      </c>
      <c r="AG76" s="655">
        <f t="shared" si="102"/>
        <v>0.99749931371743417</v>
      </c>
      <c r="AH76" s="655">
        <f t="shared" si="103"/>
        <v>1.0006251715706416</v>
      </c>
      <c r="AI76" s="655">
        <f t="shared" si="104"/>
        <v>1.0037510294238492</v>
      </c>
      <c r="AJ76" s="655">
        <f t="shared" si="105"/>
        <v>1.0110452243214469</v>
      </c>
      <c r="AK76" s="655">
        <f t="shared" si="106"/>
        <v>1.0183394192190449</v>
      </c>
      <c r="AL76" s="655">
        <f t="shared" si="107"/>
        <v>1.0242112690345695</v>
      </c>
      <c r="AM76" s="655">
        <f t="shared" si="108"/>
        <v>1.0300831188500943</v>
      </c>
      <c r="AO76" s="550" t="s">
        <v>1113</v>
      </c>
      <c r="AP76" s="551">
        <v>13.153485850435521</v>
      </c>
      <c r="AQ76" s="552">
        <v>11.272115210081623</v>
      </c>
      <c r="AR76" s="553">
        <v>8.9327235364230297</v>
      </c>
      <c r="AS76" s="554">
        <v>8.0537072234893508</v>
      </c>
      <c r="AT76" s="555">
        <v>7.3994338105065527</v>
      </c>
    </row>
    <row r="77" spans="4:46" ht="15" x14ac:dyDescent="0.2">
      <c r="D77" s="399" t="str">
        <f t="shared" si="90"/>
        <v>Articulated Truck</v>
      </c>
      <c r="E77" s="544" t="s">
        <v>1117</v>
      </c>
      <c r="F77" s="556"/>
      <c r="G77" s="557"/>
      <c r="H77" s="558"/>
      <c r="I77" s="559"/>
      <c r="J77" s="559"/>
      <c r="K77" s="560"/>
      <c r="L77" s="560"/>
      <c r="M77" s="561"/>
      <c r="N77" s="453">
        <f t="shared" si="91"/>
        <v>0</v>
      </c>
      <c r="O77" s="454">
        <f t="shared" si="91"/>
        <v>0</v>
      </c>
      <c r="P77" s="454">
        <f t="shared" si="91"/>
        <v>0</v>
      </c>
      <c r="Q77" s="454">
        <f t="shared" si="91"/>
        <v>0</v>
      </c>
      <c r="R77" s="454">
        <f t="shared" si="91"/>
        <v>0</v>
      </c>
      <c r="S77" s="454">
        <f t="shared" si="91"/>
        <v>0</v>
      </c>
      <c r="T77" s="454">
        <f t="shared" si="91"/>
        <v>0</v>
      </c>
      <c r="U77" s="455">
        <f t="shared" si="91"/>
        <v>0</v>
      </c>
      <c r="V77" s="449"/>
      <c r="W77" s="449"/>
      <c r="X77" s="449"/>
      <c r="Y77" s="449"/>
      <c r="Z77" s="449"/>
      <c r="AA77" s="449"/>
      <c r="AB77" s="449"/>
      <c r="AC77" s="449"/>
      <c r="AD77" s="654"/>
      <c r="AF77" s="662">
        <f>AF53</f>
        <v>1.6444636859820372</v>
      </c>
      <c r="AG77" s="662">
        <f t="shared" ref="AG77:AM77" si="109">AG53</f>
        <v>1.0794027966757322</v>
      </c>
      <c r="AH77" s="662">
        <f t="shared" si="109"/>
        <v>0.98014930083106599</v>
      </c>
      <c r="AI77" s="662">
        <f t="shared" si="109"/>
        <v>0.88089580498639963</v>
      </c>
      <c r="AJ77" s="662">
        <f t="shared" si="109"/>
        <v>0.8879616688769022</v>
      </c>
      <c r="AK77" s="662">
        <f t="shared" si="109"/>
        <v>0.89502753276740454</v>
      </c>
      <c r="AL77" s="662">
        <f t="shared" si="109"/>
        <v>0.89722658259993482</v>
      </c>
      <c r="AM77" s="662">
        <f t="shared" si="109"/>
        <v>0.89942563243246498</v>
      </c>
      <c r="AO77" s="550" t="s">
        <v>1117</v>
      </c>
      <c r="AP77" s="562"/>
      <c r="AQ77" s="563"/>
      <c r="AR77" s="564"/>
      <c r="AS77" s="565"/>
      <c r="AT77" s="566"/>
    </row>
    <row r="78" spans="4:46" ht="15" x14ac:dyDescent="0.2">
      <c r="D78" s="399" t="str">
        <f t="shared" si="90"/>
        <v>Articulated Truck</v>
      </c>
      <c r="E78" s="544" t="s">
        <v>1116</v>
      </c>
      <c r="F78" s="545">
        <v>411104.05539837579</v>
      </c>
      <c r="G78" s="546">
        <v>172512.54514941739</v>
      </c>
      <c r="H78" s="444">
        <f>AVERAGE(G78,I78)</f>
        <v>135113.44057992334</v>
      </c>
      <c r="I78" s="547">
        <v>97714.336010429295</v>
      </c>
      <c r="J78" s="444">
        <f>AVERAGE(I78,K78)</f>
        <v>92795.30512626053</v>
      </c>
      <c r="K78" s="548">
        <v>87876.274242091749</v>
      </c>
      <c r="L78" s="444">
        <f>AVERAGE(K78,M78)</f>
        <v>86198.094543665356</v>
      </c>
      <c r="M78" s="549">
        <v>84519.914845238978</v>
      </c>
      <c r="N78" s="453">
        <f t="shared" si="91"/>
        <v>9335138.1238165591</v>
      </c>
      <c r="O78" s="454">
        <f t="shared" si="91"/>
        <v>3917325.5916932854</v>
      </c>
      <c r="P78" s="454">
        <f t="shared" si="91"/>
        <v>3068086.0809690007</v>
      </c>
      <c r="Q78" s="454">
        <f t="shared" si="91"/>
        <v>2218846.570244716</v>
      </c>
      <c r="R78" s="454">
        <f t="shared" si="91"/>
        <v>2107147.7627626616</v>
      </c>
      <c r="S78" s="454">
        <f t="shared" si="91"/>
        <v>1995448.9552806069</v>
      </c>
      <c r="T78" s="454">
        <f t="shared" si="91"/>
        <v>1957341.7192276465</v>
      </c>
      <c r="U78" s="455">
        <f t="shared" si="91"/>
        <v>1919234.4831746866</v>
      </c>
      <c r="V78" s="449">
        <f t="shared" si="92"/>
        <v>1</v>
      </c>
      <c r="W78" s="449">
        <f t="shared" si="93"/>
        <v>0.41963231178112809</v>
      </c>
      <c r="X78" s="449">
        <f t="shared" si="94"/>
        <v>0.32865995556524774</v>
      </c>
      <c r="Y78" s="449">
        <f t="shared" si="95"/>
        <v>0.23768759934936742</v>
      </c>
      <c r="Z78" s="449">
        <f t="shared" si="96"/>
        <v>0.22572218373360067</v>
      </c>
      <c r="AA78" s="449">
        <f t="shared" si="97"/>
        <v>0.2137567681178339</v>
      </c>
      <c r="AB78" s="449">
        <f t="shared" si="98"/>
        <v>0.20967463933221495</v>
      </c>
      <c r="AC78" s="449">
        <f t="shared" si="99"/>
        <v>0.20559251054659605</v>
      </c>
      <c r="AD78" s="654">
        <f t="shared" ref="AD78:AD80" si="110">_xlfn.FORECAST.LINEAR($AD$4,$W78:$X78,$W$4:$X$4)</f>
        <v>0.34685442680842016</v>
      </c>
      <c r="AF78" s="655">
        <f t="shared" ref="AF78:AF80" si="111">V78/$AD78</f>
        <v>2.883053877101978</v>
      </c>
      <c r="AG78" s="655">
        <f t="shared" ref="AG78:AG80" si="112">W78/$AD78</f>
        <v>1.2098225634378474</v>
      </c>
      <c r="AH78" s="655">
        <f t="shared" ref="AH78:AH80" si="113">X78/$AD78</f>
        <v>0.94754435914055135</v>
      </c>
      <c r="AI78" s="655">
        <f t="shared" ref="AI78:AI80" si="114">Y78/$AD78</f>
        <v>0.68526615484325537</v>
      </c>
      <c r="AJ78" s="655">
        <f t="shared" ref="AJ78:AJ80" si="115">Z78/$AD78</f>
        <v>0.65076921696108248</v>
      </c>
      <c r="AK78" s="655">
        <f t="shared" ref="AK78:AK80" si="116">AA78/$AD78</f>
        <v>0.61627227907890947</v>
      </c>
      <c r="AL78" s="655">
        <f t="shared" ref="AL78:AL80" si="117">AB78/$AD78</f>
        <v>0.60450328185670121</v>
      </c>
      <c r="AM78" s="655">
        <f t="shared" ref="AM78:AM80" si="118">AC78/$AD78</f>
        <v>0.59273428463449307</v>
      </c>
      <c r="AO78" s="550" t="s">
        <v>1116</v>
      </c>
      <c r="AP78" s="551">
        <v>6.6431339955944022</v>
      </c>
      <c r="AQ78" s="552">
        <v>5.6245758340445899</v>
      </c>
      <c r="AR78" s="553">
        <v>4.7019783134372828</v>
      </c>
      <c r="AS78" s="554">
        <v>4.1837822653388725</v>
      </c>
      <c r="AT78" s="555">
        <v>3.7701290991767111</v>
      </c>
    </row>
    <row r="79" spans="4:46" ht="15" x14ac:dyDescent="0.2">
      <c r="D79" s="399" t="str">
        <f t="shared" si="90"/>
        <v>Articulated Truck</v>
      </c>
      <c r="E79" s="544" t="s">
        <v>1151</v>
      </c>
      <c r="F79" s="545">
        <v>90125.971437475877</v>
      </c>
      <c r="G79" s="546">
        <v>92868.139856750626</v>
      </c>
      <c r="H79" s="444">
        <f>AVERAGE(G79,I79)</f>
        <v>92758.712838742562</v>
      </c>
      <c r="I79" s="547">
        <v>92649.285820734483</v>
      </c>
      <c r="J79" s="444">
        <f>AVERAGE(I79,K79)</f>
        <v>93307.676951982314</v>
      </c>
      <c r="K79" s="548">
        <v>93966.068083230144</v>
      </c>
      <c r="L79" s="444">
        <f>AVERAGE(K79,M79)</f>
        <v>94354.744617523102</v>
      </c>
      <c r="M79" s="549">
        <v>94743.421151816074</v>
      </c>
      <c r="N79" s="453">
        <f t="shared" si="91"/>
        <v>2046533.9148666237</v>
      </c>
      <c r="O79" s="454">
        <f t="shared" si="91"/>
        <v>2108801.656127146</v>
      </c>
      <c r="P79" s="454">
        <f t="shared" si="91"/>
        <v>2106316.844035977</v>
      </c>
      <c r="Q79" s="454">
        <f t="shared" si="91"/>
        <v>2103832.0319448072</v>
      </c>
      <c r="R79" s="454">
        <f t="shared" si="91"/>
        <v>2118782.4370040284</v>
      </c>
      <c r="S79" s="454">
        <f t="shared" si="91"/>
        <v>2133732.84206325</v>
      </c>
      <c r="T79" s="454">
        <f t="shared" si="91"/>
        <v>2142558.707645128</v>
      </c>
      <c r="U79" s="455">
        <f t="shared" si="91"/>
        <v>2151384.5732270065</v>
      </c>
      <c r="V79" s="449">
        <f t="shared" si="92"/>
        <v>1</v>
      </c>
      <c r="W79" s="449">
        <f t="shared" si="93"/>
        <v>1.0304259513161209</v>
      </c>
      <c r="X79" s="449">
        <f t="shared" si="94"/>
        <v>1.0292117949940005</v>
      </c>
      <c r="Y79" s="449">
        <f t="shared" si="95"/>
        <v>1.0279976386718799</v>
      </c>
      <c r="Z79" s="449">
        <f t="shared" si="96"/>
        <v>1.0353028706793326</v>
      </c>
      <c r="AA79" s="449">
        <f t="shared" si="97"/>
        <v>1.0426081026867855</v>
      </c>
      <c r="AB79" s="449">
        <f t="shared" si="98"/>
        <v>1.046920694585588</v>
      </c>
      <c r="AC79" s="449">
        <f t="shared" si="99"/>
        <v>1.0512332864843905</v>
      </c>
      <c r="AD79" s="654">
        <f t="shared" si="110"/>
        <v>1.0294546262584248</v>
      </c>
      <c r="AF79" s="655">
        <f t="shared" si="111"/>
        <v>0.97138812580261236</v>
      </c>
      <c r="AG79" s="655">
        <f t="shared" si="112"/>
        <v>1.0009435336273407</v>
      </c>
      <c r="AH79" s="655">
        <f t="shared" si="113"/>
        <v>0.99976411659316466</v>
      </c>
      <c r="AI79" s="655">
        <f t="shared" si="114"/>
        <v>0.99858469955898854</v>
      </c>
      <c r="AJ79" s="655">
        <f t="shared" si="115"/>
        <v>1.0056809151872612</v>
      </c>
      <c r="AK79" s="655">
        <f t="shared" si="116"/>
        <v>1.0127771308155342</v>
      </c>
      <c r="AL79" s="655">
        <f t="shared" si="117"/>
        <v>1.0169663313774635</v>
      </c>
      <c r="AM79" s="655">
        <f t="shared" si="118"/>
        <v>1.0211555319393928</v>
      </c>
      <c r="AO79" s="550" t="s">
        <v>1151</v>
      </c>
      <c r="AP79" s="551">
        <v>13.986475102643237</v>
      </c>
      <c r="AQ79" s="552">
        <v>11.823955736426605</v>
      </c>
      <c r="AR79" s="553">
        <v>9.4051912571814071</v>
      </c>
      <c r="AS79" s="554">
        <v>8.5108552099213703</v>
      </c>
      <c r="AT79" s="555">
        <v>7.9094469544802353</v>
      </c>
    </row>
    <row r="80" spans="4:46" ht="15" x14ac:dyDescent="0.2">
      <c r="D80" s="399" t="str">
        <f t="shared" si="90"/>
        <v>Articulated Truck</v>
      </c>
      <c r="E80" s="544" t="s">
        <v>1115</v>
      </c>
      <c r="F80" s="545">
        <v>85180.268886612539</v>
      </c>
      <c r="G80" s="546">
        <v>88358.582298485853</v>
      </c>
      <c r="H80" s="444">
        <f>AVERAGE(G80,I80)</f>
        <v>88103.600633371505</v>
      </c>
      <c r="I80" s="547">
        <v>87848.618968257142</v>
      </c>
      <c r="J80" s="444">
        <f>AVERAGE(I80,K80)</f>
        <v>88508.458237651677</v>
      </c>
      <c r="K80" s="548">
        <v>89168.297507046198</v>
      </c>
      <c r="L80" s="444">
        <f>AVERAGE(K80,M80)</f>
        <v>89556.413228877951</v>
      </c>
      <c r="M80" s="549">
        <v>89944.528950709704</v>
      </c>
      <c r="N80" s="453">
        <f t="shared" si="91"/>
        <v>1934229.4609811425</v>
      </c>
      <c r="O80" s="454">
        <f t="shared" si="91"/>
        <v>2006400.9570075311</v>
      </c>
      <c r="P80" s="454">
        <f t="shared" si="91"/>
        <v>2000610.9653214198</v>
      </c>
      <c r="Q80" s="454">
        <f t="shared" si="91"/>
        <v>1994820.9736353087</v>
      </c>
      <c r="R80" s="454">
        <f t="shared" si="91"/>
        <v>2009804.2622660839</v>
      </c>
      <c r="S80" s="454">
        <f t="shared" si="91"/>
        <v>2024787.550896859</v>
      </c>
      <c r="T80" s="454">
        <f t="shared" si="91"/>
        <v>2033600.6818396156</v>
      </c>
      <c r="U80" s="455">
        <f t="shared" si="91"/>
        <v>2042413.8127823726</v>
      </c>
      <c r="V80" s="449">
        <f t="shared" si="92"/>
        <v>1</v>
      </c>
      <c r="W80" s="449">
        <f t="shared" si="93"/>
        <v>1.0373127891402187</v>
      </c>
      <c r="X80" s="449">
        <f t="shared" si="94"/>
        <v>1.0343193533545938</v>
      </c>
      <c r="Y80" s="449">
        <f t="shared" si="95"/>
        <v>1.0313259175689686</v>
      </c>
      <c r="Z80" s="449">
        <f t="shared" si="96"/>
        <v>1.03907230388612</v>
      </c>
      <c r="AA80" s="449">
        <f t="shared" si="97"/>
        <v>1.0468186902032712</v>
      </c>
      <c r="AB80" s="449">
        <f t="shared" si="98"/>
        <v>1.0513750942497107</v>
      </c>
      <c r="AC80" s="449">
        <f t="shared" si="99"/>
        <v>1.0559314982961501</v>
      </c>
      <c r="AD80" s="654">
        <f t="shared" si="110"/>
        <v>1.0349180405117189</v>
      </c>
      <c r="AF80" s="655">
        <f t="shared" si="111"/>
        <v>0.96626009099768562</v>
      </c>
      <c r="AG80" s="655">
        <f t="shared" si="112"/>
        <v>1.002313950027691</v>
      </c>
      <c r="AH80" s="655">
        <f t="shared" si="113"/>
        <v>0.9994215124930772</v>
      </c>
      <c r="AI80" s="655">
        <f t="shared" si="114"/>
        <v>0.99652907495846332</v>
      </c>
      <c r="AJ80" s="655">
        <f t="shared" si="115"/>
        <v>1.0040140989061772</v>
      </c>
      <c r="AK80" s="655">
        <f t="shared" si="116"/>
        <v>1.011499122853891</v>
      </c>
      <c r="AL80" s="655">
        <f t="shared" si="117"/>
        <v>1.0159017942424258</v>
      </c>
      <c r="AM80" s="655">
        <f t="shared" si="118"/>
        <v>1.0203044656309606</v>
      </c>
      <c r="AO80" s="550" t="s">
        <v>1115</v>
      </c>
      <c r="AP80" s="551">
        <v>16.084446368039721</v>
      </c>
      <c r="AQ80" s="552">
        <v>13.597549096890598</v>
      </c>
      <c r="AR80" s="553">
        <v>10.815969945758619</v>
      </c>
      <c r="AS80" s="554">
        <v>9.7874834914095743</v>
      </c>
      <c r="AT80" s="555">
        <v>9.0958639976522715</v>
      </c>
    </row>
    <row r="81" spans="4:46" ht="15" x14ac:dyDescent="0.25">
      <c r="D81" s="399" t="str">
        <f t="shared" si="90"/>
        <v>Articulated Truck</v>
      </c>
      <c r="E81" s="503"/>
      <c r="H81" s="399"/>
      <c r="M81" s="408"/>
      <c r="N81" s="439"/>
      <c r="U81" s="413"/>
      <c r="V81" s="449"/>
      <c r="W81" s="449"/>
      <c r="X81" s="449"/>
      <c r="Y81" s="449"/>
      <c r="Z81" s="449"/>
      <c r="AA81" s="449"/>
      <c r="AB81" s="449"/>
      <c r="AC81" s="449"/>
      <c r="AD81" s="654"/>
      <c r="AF81" s="655"/>
      <c r="AG81" s="655"/>
      <c r="AH81" s="655"/>
      <c r="AI81" s="655"/>
      <c r="AJ81" s="655"/>
      <c r="AK81" s="655"/>
      <c r="AL81" s="655"/>
      <c r="AM81" s="655"/>
    </row>
    <row r="82" spans="4:46" ht="15" x14ac:dyDescent="0.2">
      <c r="D82" s="399" t="str">
        <f t="shared" si="90"/>
        <v>Articulated Truck</v>
      </c>
      <c r="E82" s="567" t="s">
        <v>1128</v>
      </c>
      <c r="F82" s="526" t="s">
        <v>1129</v>
      </c>
      <c r="G82" s="527">
        <v>0.08</v>
      </c>
      <c r="H82" s="528"/>
      <c r="M82" s="408"/>
      <c r="N82" s="439"/>
      <c r="U82" s="413"/>
      <c r="V82" s="449"/>
      <c r="W82" s="449"/>
      <c r="X82" s="449"/>
      <c r="Y82" s="449"/>
      <c r="Z82" s="449"/>
      <c r="AA82" s="449"/>
      <c r="AB82" s="449"/>
      <c r="AC82" s="449"/>
      <c r="AD82" s="654"/>
      <c r="AF82" s="655"/>
      <c r="AG82" s="655"/>
      <c r="AH82" s="655"/>
      <c r="AI82" s="655"/>
      <c r="AJ82" s="655"/>
      <c r="AK82" s="655"/>
      <c r="AL82" s="655"/>
      <c r="AM82" s="655"/>
      <c r="AO82" s="568" t="s">
        <v>1131</v>
      </c>
    </row>
    <row r="83" spans="4:46" ht="15" x14ac:dyDescent="0.2">
      <c r="D83" s="399" t="str">
        <f>E83</f>
        <v>Construction Truck</v>
      </c>
      <c r="E83" s="569" t="s">
        <v>1121</v>
      </c>
      <c r="F83" s="427">
        <v>2010</v>
      </c>
      <c r="G83" s="427">
        <v>2020</v>
      </c>
      <c r="H83" s="471"/>
      <c r="I83" s="427">
        <v>2030</v>
      </c>
      <c r="J83" s="427"/>
      <c r="K83" s="427">
        <v>2040</v>
      </c>
      <c r="L83" s="427"/>
      <c r="M83" s="430">
        <v>2050</v>
      </c>
      <c r="N83" s="431" t="e">
        <f>#REF!</f>
        <v>#REF!</v>
      </c>
      <c r="O83" s="432" t="e">
        <f>#REF!</f>
        <v>#REF!</v>
      </c>
      <c r="P83" s="432" t="e">
        <f>#REF!</f>
        <v>#REF!</v>
      </c>
      <c r="Q83" s="432" t="e">
        <f>#REF!</f>
        <v>#REF!</v>
      </c>
      <c r="R83" s="432" t="e">
        <f>#REF!</f>
        <v>#REF!</v>
      </c>
      <c r="S83" s="432" t="e">
        <f>#REF!</f>
        <v>#REF!</v>
      </c>
      <c r="T83" s="432" t="e">
        <f>#REF!</f>
        <v>#REF!</v>
      </c>
      <c r="U83" s="433" t="e">
        <f>#REF!</f>
        <v>#REF!</v>
      </c>
      <c r="V83" s="449"/>
      <c r="W83" s="449"/>
      <c r="X83" s="449"/>
      <c r="Y83" s="449"/>
      <c r="Z83" s="449"/>
      <c r="AA83" s="449"/>
      <c r="AB83" s="449"/>
      <c r="AC83" s="449"/>
      <c r="AD83" s="654"/>
      <c r="AF83" s="655"/>
      <c r="AG83" s="655"/>
      <c r="AH83" s="655"/>
      <c r="AI83" s="655"/>
      <c r="AJ83" s="655"/>
      <c r="AK83" s="655"/>
      <c r="AL83" s="655"/>
      <c r="AM83" s="655"/>
      <c r="AO83" s="570" t="s">
        <v>1153</v>
      </c>
      <c r="AP83" s="427">
        <v>2010</v>
      </c>
      <c r="AQ83" s="427">
        <v>2020</v>
      </c>
      <c r="AR83" s="427">
        <v>2030</v>
      </c>
      <c r="AS83" s="427">
        <v>2040</v>
      </c>
      <c r="AT83" s="427">
        <v>2050</v>
      </c>
    </row>
    <row r="84" spans="4:46" ht="15" x14ac:dyDescent="0.2">
      <c r="D84" s="399" t="str">
        <f t="shared" ref="D84:D94" si="119">D83</f>
        <v>Construction Truck</v>
      </c>
      <c r="E84" s="571" t="s">
        <v>1135</v>
      </c>
      <c r="F84" s="572" t="s">
        <v>878</v>
      </c>
      <c r="G84" s="573" t="s">
        <v>878</v>
      </c>
      <c r="H84" s="574"/>
      <c r="I84" s="575" t="s">
        <v>878</v>
      </c>
      <c r="J84" s="575"/>
      <c r="K84" s="576" t="s">
        <v>878</v>
      </c>
      <c r="L84" s="576"/>
      <c r="M84" s="577" t="s">
        <v>878</v>
      </c>
      <c r="N84" s="439" t="s">
        <v>1137</v>
      </c>
      <c r="O84" s="412" t="s">
        <v>1137</v>
      </c>
      <c r="P84" s="412" t="s">
        <v>1137</v>
      </c>
      <c r="Q84" s="412" t="s">
        <v>1137</v>
      </c>
      <c r="R84" s="412" t="s">
        <v>1137</v>
      </c>
      <c r="S84" s="412" t="s">
        <v>1137</v>
      </c>
      <c r="T84" s="412" t="s">
        <v>1137</v>
      </c>
      <c r="U84" s="413" t="s">
        <v>1137</v>
      </c>
      <c r="V84" s="449"/>
      <c r="W84" s="449"/>
      <c r="X84" s="449"/>
      <c r="Y84" s="449"/>
      <c r="Z84" s="449"/>
      <c r="AA84" s="449"/>
      <c r="AB84" s="449"/>
      <c r="AC84" s="449"/>
      <c r="AD84" s="654"/>
      <c r="AF84" s="655"/>
      <c r="AG84" s="655"/>
      <c r="AH84" s="655"/>
      <c r="AI84" s="655"/>
      <c r="AJ84" s="655"/>
      <c r="AK84" s="655"/>
      <c r="AL84" s="655"/>
      <c r="AM84" s="655"/>
      <c r="AO84" s="578" t="s">
        <v>1139</v>
      </c>
      <c r="AP84" s="579" t="s">
        <v>1140</v>
      </c>
      <c r="AQ84" s="580" t="s">
        <v>1140</v>
      </c>
      <c r="AR84" s="581" t="s">
        <v>1140</v>
      </c>
      <c r="AS84" s="582" t="s">
        <v>1140</v>
      </c>
      <c r="AT84" s="583" t="s">
        <v>1140</v>
      </c>
    </row>
    <row r="85" spans="4:46" ht="15" x14ac:dyDescent="0.2">
      <c r="D85" s="399" t="str">
        <f t="shared" si="119"/>
        <v>Construction Truck</v>
      </c>
      <c r="E85" s="584" t="s">
        <v>1111</v>
      </c>
      <c r="F85" s="585">
        <v>50097.906660086221</v>
      </c>
      <c r="G85" s="586">
        <v>60945.499708674783</v>
      </c>
      <c r="H85" s="444">
        <f>AVERAGE(G85,I85)</f>
        <v>62625.099522765391</v>
      </c>
      <c r="I85" s="587">
        <v>64304.699336856007</v>
      </c>
      <c r="J85" s="444">
        <f>AVERAGE(I85,K85)</f>
        <v>65668.155002490399</v>
      </c>
      <c r="K85" s="588">
        <v>67031.610668124791</v>
      </c>
      <c r="L85" s="444">
        <f>AVERAGE(K85,M85)</f>
        <v>68287.47516906797</v>
      </c>
      <c r="M85" s="589">
        <v>69543.339670011163</v>
      </c>
      <c r="N85" s="453">
        <f t="shared" ref="N85:U92" si="120">F85*$E$2*$O$2</f>
        <v>1137597.3363551064</v>
      </c>
      <c r="O85" s="454">
        <f t="shared" si="120"/>
        <v>1383918.8651500437</v>
      </c>
      <c r="P85" s="454">
        <f t="shared" si="120"/>
        <v>1422058.348454529</v>
      </c>
      <c r="Q85" s="454">
        <f t="shared" si="120"/>
        <v>1460197.8317590139</v>
      </c>
      <c r="R85" s="454">
        <f t="shared" si="120"/>
        <v>1491158.4773601948</v>
      </c>
      <c r="S85" s="454">
        <f t="shared" si="120"/>
        <v>1522119.1229613756</v>
      </c>
      <c r="T85" s="454">
        <f t="shared" si="120"/>
        <v>1550636.6440783634</v>
      </c>
      <c r="U85" s="455">
        <f t="shared" si="120"/>
        <v>1579154.1651953517</v>
      </c>
      <c r="V85" s="449">
        <f t="shared" si="92"/>
        <v>1</v>
      </c>
      <c r="W85" s="449">
        <f t="shared" si="93"/>
        <v>1.2165278705593303</v>
      </c>
      <c r="X85" s="449">
        <f t="shared" si="94"/>
        <v>1.2500542177875025</v>
      </c>
      <c r="Y85" s="449">
        <f t="shared" si="95"/>
        <v>1.2835805650156749</v>
      </c>
      <c r="Z85" s="449">
        <f t="shared" si="96"/>
        <v>1.3107963861254355</v>
      </c>
      <c r="AA85" s="449">
        <f t="shared" si="97"/>
        <v>1.3380122072351961</v>
      </c>
      <c r="AB85" s="449">
        <f t="shared" si="98"/>
        <v>1.3630804103731875</v>
      </c>
      <c r="AC85" s="449">
        <f t="shared" si="99"/>
        <v>1.3881486135111794</v>
      </c>
      <c r="AD85" s="654">
        <f t="shared" ref="AD85:AD88" si="121">_xlfn.FORECAST.LINEAR($AD$4,$W85:$X85,$W$4:$X$4)</f>
        <v>1.2433489483418683</v>
      </c>
      <c r="AF85" s="655">
        <f t="shared" ref="AF85:AF88" si="122">V85/$AD85</f>
        <v>0.80427944329996925</v>
      </c>
      <c r="AG85" s="655">
        <f t="shared" ref="AG85:AG88" si="123">W85/$AD85</f>
        <v>0.97842835849235521</v>
      </c>
      <c r="AH85" s="655">
        <f t="shared" ref="AH85:AH88" si="124">X85/$AD85</f>
        <v>1.005392910376911</v>
      </c>
      <c r="AI85" s="655">
        <f t="shared" ref="AI85:AI88" si="125">Y85/$AD85</f>
        <v>1.0323574622614669</v>
      </c>
      <c r="AJ85" s="655">
        <f t="shared" ref="AJ85:AJ88" si="126">Z85/$AD85</f>
        <v>1.0542465877125768</v>
      </c>
      <c r="AK85" s="655">
        <f t="shared" ref="AK85:AK88" si="127">AA85/$AD85</f>
        <v>1.0761357131636866</v>
      </c>
      <c r="AL85" s="655">
        <f t="shared" ref="AL85:AL88" si="128">AB85/$AD85</f>
        <v>1.0962975536280408</v>
      </c>
      <c r="AM85" s="655">
        <f t="shared" ref="AM85:AM88" si="129">AC85/$AD85</f>
        <v>1.1164593940923955</v>
      </c>
      <c r="AO85" s="590" t="s">
        <v>1111</v>
      </c>
      <c r="AP85" s="591">
        <v>13.15733229927832</v>
      </c>
      <c r="AQ85" s="592">
        <v>12.08372523506852</v>
      </c>
      <c r="AR85" s="593">
        <v>11.084387942527147</v>
      </c>
      <c r="AS85" s="594">
        <v>10.395192174875143</v>
      </c>
      <c r="AT85" s="595">
        <v>9.891747987713071</v>
      </c>
    </row>
    <row r="86" spans="4:46" ht="15" x14ac:dyDescent="0.2">
      <c r="D86" s="399" t="str">
        <f t="shared" si="119"/>
        <v>Construction Truck</v>
      </c>
      <c r="E86" s="584" t="s">
        <v>1149</v>
      </c>
      <c r="F86" s="585">
        <v>59302.385710933137</v>
      </c>
      <c r="G86" s="586">
        <v>68478.720611592405</v>
      </c>
      <c r="H86" s="444">
        <f>AVERAGE(G86,I86)</f>
        <v>68925.362076589052</v>
      </c>
      <c r="I86" s="587">
        <v>69372.003541585713</v>
      </c>
      <c r="J86" s="444">
        <f>AVERAGE(I86,K86)</f>
        <v>70119.022104089701</v>
      </c>
      <c r="K86" s="588">
        <v>70866.040666593675</v>
      </c>
      <c r="L86" s="444">
        <f>AVERAGE(K86,M86)</f>
        <v>71725.11939513449</v>
      </c>
      <c r="M86" s="589">
        <v>72584.198123675305</v>
      </c>
      <c r="N86" s="453">
        <f t="shared" si="120"/>
        <v>1346607.8828800418</v>
      </c>
      <c r="O86" s="454">
        <f t="shared" si="120"/>
        <v>1554979.3466084711</v>
      </c>
      <c r="P86" s="454">
        <f t="shared" si="120"/>
        <v>1565121.4498371221</v>
      </c>
      <c r="Q86" s="454">
        <f t="shared" si="120"/>
        <v>1575263.5530657738</v>
      </c>
      <c r="R86" s="454">
        <f t="shared" si="120"/>
        <v>1592226.4639649913</v>
      </c>
      <c r="S86" s="454">
        <f t="shared" si="120"/>
        <v>1609189.3748642085</v>
      </c>
      <c r="T86" s="454">
        <f t="shared" si="120"/>
        <v>1628696.8900172515</v>
      </c>
      <c r="U86" s="455">
        <f t="shared" si="120"/>
        <v>1648204.4051702945</v>
      </c>
      <c r="V86" s="449">
        <f t="shared" si="92"/>
        <v>1</v>
      </c>
      <c r="W86" s="449">
        <f t="shared" si="93"/>
        <v>1.1547380394675673</v>
      </c>
      <c r="X86" s="449">
        <f t="shared" si="94"/>
        <v>1.1622696330053683</v>
      </c>
      <c r="Y86" s="449">
        <f t="shared" si="95"/>
        <v>1.1698012265431694</v>
      </c>
      <c r="Z86" s="449">
        <f t="shared" si="96"/>
        <v>1.182397997373694</v>
      </c>
      <c r="AA86" s="449">
        <f t="shared" si="97"/>
        <v>1.1949947682042181</v>
      </c>
      <c r="AB86" s="449">
        <f t="shared" si="98"/>
        <v>1.2094811791342666</v>
      </c>
      <c r="AC86" s="449">
        <f t="shared" si="99"/>
        <v>1.223967590064315</v>
      </c>
      <c r="AD86" s="654">
        <f t="shared" si="121"/>
        <v>1.160763314297808</v>
      </c>
      <c r="AF86" s="655">
        <f t="shared" si="122"/>
        <v>0.86150207168197757</v>
      </c>
      <c r="AG86" s="655">
        <f t="shared" si="123"/>
        <v>0.99480921325129434</v>
      </c>
      <c r="AH86" s="655">
        <f t="shared" si="124"/>
        <v>1.0012976966871765</v>
      </c>
      <c r="AI86" s="655">
        <f t="shared" si="125"/>
        <v>1.0077861801230588</v>
      </c>
      <c r="AJ86" s="655">
        <f t="shared" si="126"/>
        <v>1.0186383242900587</v>
      </c>
      <c r="AK86" s="655">
        <f t="shared" si="127"/>
        <v>1.0294904684570585</v>
      </c>
      <c r="AL86" s="655">
        <f t="shared" si="128"/>
        <v>1.0419705414845317</v>
      </c>
      <c r="AM86" s="655">
        <f t="shared" si="129"/>
        <v>1.0544506145120047</v>
      </c>
      <c r="AO86" s="590" t="s">
        <v>1149</v>
      </c>
      <c r="AP86" s="591">
        <v>12.462092656713056</v>
      </c>
      <c r="AQ86" s="592">
        <v>11.69168083818934</v>
      </c>
      <c r="AR86" s="593">
        <v>10.732892215978326</v>
      </c>
      <c r="AS86" s="594">
        <v>10.07939749594583</v>
      </c>
      <c r="AT86" s="595">
        <v>9.5947575238489726</v>
      </c>
    </row>
    <row r="87" spans="4:46" ht="15" x14ac:dyDescent="0.2">
      <c r="D87" s="399" t="str">
        <f t="shared" si="119"/>
        <v>Construction Truck</v>
      </c>
      <c r="E87" s="584" t="s">
        <v>1150</v>
      </c>
      <c r="F87" s="585">
        <v>59123.565849994855</v>
      </c>
      <c r="G87" s="586">
        <v>65687.206724330608</v>
      </c>
      <c r="H87" s="444">
        <f>AVERAGE(G87,I87)</f>
        <v>66680.005444193113</v>
      </c>
      <c r="I87" s="587">
        <v>67672.804164055618</v>
      </c>
      <c r="J87" s="444">
        <f>AVERAGE(I87,K87)</f>
        <v>69715.727189696074</v>
      </c>
      <c r="K87" s="588">
        <v>71758.650215336529</v>
      </c>
      <c r="L87" s="444">
        <f>AVERAGE(K87,M87)</f>
        <v>74042.050948476477</v>
      </c>
      <c r="M87" s="589">
        <v>76325.45168161644</v>
      </c>
      <c r="N87" s="453">
        <f t="shared" si="120"/>
        <v>1342547.3340257551</v>
      </c>
      <c r="O87" s="454">
        <f t="shared" si="120"/>
        <v>1491591.0939995577</v>
      </c>
      <c r="P87" s="454">
        <f t="shared" si="120"/>
        <v>1514135.0535089909</v>
      </c>
      <c r="Q87" s="454">
        <f t="shared" si="120"/>
        <v>1536679.0130184239</v>
      </c>
      <c r="R87" s="454">
        <f t="shared" si="120"/>
        <v>1583068.6517735035</v>
      </c>
      <c r="S87" s="454">
        <f t="shared" si="120"/>
        <v>1629458.2905285831</v>
      </c>
      <c r="T87" s="454">
        <f t="shared" si="120"/>
        <v>1681308.5726067531</v>
      </c>
      <c r="U87" s="455">
        <f t="shared" si="120"/>
        <v>1733158.8546849233</v>
      </c>
      <c r="V87" s="449">
        <f t="shared" si="92"/>
        <v>1</v>
      </c>
      <c r="W87" s="449">
        <f t="shared" si="93"/>
        <v>1.1110156462989507</v>
      </c>
      <c r="X87" s="449">
        <f t="shared" si="94"/>
        <v>1.1278075752969645</v>
      </c>
      <c r="Y87" s="449">
        <f t="shared" si="95"/>
        <v>1.1445995042949784</v>
      </c>
      <c r="Z87" s="449">
        <f t="shared" si="96"/>
        <v>1.1791529517447423</v>
      </c>
      <c r="AA87" s="449">
        <f t="shared" si="97"/>
        <v>1.2137063991945063</v>
      </c>
      <c r="AB87" s="449">
        <f t="shared" si="98"/>
        <v>1.252327221540257</v>
      </c>
      <c r="AC87" s="449">
        <f t="shared" si="99"/>
        <v>1.2909480438860079</v>
      </c>
      <c r="AD87" s="654">
        <f t="shared" si="121"/>
        <v>1.1244491894973621</v>
      </c>
      <c r="AF87" s="655">
        <f t="shared" si="122"/>
        <v>0.88932431037369342</v>
      </c>
      <c r="AG87" s="655">
        <f t="shared" si="123"/>
        <v>0.98805322345919755</v>
      </c>
      <c r="AH87" s="655">
        <f t="shared" si="124"/>
        <v>1.0029866941352004</v>
      </c>
      <c r="AI87" s="655">
        <f t="shared" si="125"/>
        <v>1.0179201648112028</v>
      </c>
      <c r="AJ87" s="655">
        <f t="shared" si="126"/>
        <v>1.0486493856354979</v>
      </c>
      <c r="AK87" s="655">
        <f t="shared" si="127"/>
        <v>1.079378606459793</v>
      </c>
      <c r="AL87" s="655">
        <f t="shared" si="128"/>
        <v>1.1137250426584926</v>
      </c>
      <c r="AM87" s="655">
        <f t="shared" si="129"/>
        <v>1.1480714788571924</v>
      </c>
      <c r="AO87" s="590" t="s">
        <v>1150</v>
      </c>
      <c r="AP87" s="591">
        <v>12.7279506333896</v>
      </c>
      <c r="AQ87" s="592">
        <v>11.89708271394221</v>
      </c>
      <c r="AR87" s="593">
        <v>10.881546604623942</v>
      </c>
      <c r="AS87" s="594">
        <v>9.9942692572103038</v>
      </c>
      <c r="AT87" s="595">
        <v>9.2303903880598703</v>
      </c>
    </row>
    <row r="88" spans="4:46" ht="15" x14ac:dyDescent="0.2">
      <c r="D88" s="399" t="str">
        <f t="shared" si="119"/>
        <v>Construction Truck</v>
      </c>
      <c r="E88" s="584" t="s">
        <v>1113</v>
      </c>
      <c r="F88" s="585">
        <v>62278.245223873986</v>
      </c>
      <c r="G88" s="586">
        <v>66182.547813496509</v>
      </c>
      <c r="H88" s="444">
        <f>AVERAGE(G88,I88)</f>
        <v>66579.786422146251</v>
      </c>
      <c r="I88" s="587">
        <v>66977.02503079598</v>
      </c>
      <c r="J88" s="444">
        <f>AVERAGE(I88,K88)</f>
        <v>68506.597627981813</v>
      </c>
      <c r="K88" s="588">
        <v>70036.170225167647</v>
      </c>
      <c r="L88" s="444">
        <f>AVERAGE(K88,M88)</f>
        <v>72054.017365560925</v>
      </c>
      <c r="M88" s="589">
        <v>74071.864505954203</v>
      </c>
      <c r="N88" s="453">
        <f t="shared" si="120"/>
        <v>1414182.1605491259</v>
      </c>
      <c r="O88" s="454">
        <f t="shared" si="120"/>
        <v>1502839.0430894408</v>
      </c>
      <c r="P88" s="454">
        <f t="shared" si="120"/>
        <v>1511859.3318245267</v>
      </c>
      <c r="Q88" s="454">
        <f t="shared" si="120"/>
        <v>1520879.6205596121</v>
      </c>
      <c r="R88" s="454">
        <f t="shared" si="120"/>
        <v>1555612.3634689415</v>
      </c>
      <c r="S88" s="454">
        <f t="shared" si="120"/>
        <v>1590345.1063782712</v>
      </c>
      <c r="T88" s="454">
        <f t="shared" si="120"/>
        <v>1636165.3349091376</v>
      </c>
      <c r="U88" s="455">
        <f t="shared" si="120"/>
        <v>1681985.5634400039</v>
      </c>
      <c r="V88" s="449">
        <f t="shared" si="92"/>
        <v>1</v>
      </c>
      <c r="W88" s="449">
        <f t="shared" si="93"/>
        <v>1.0626912748679347</v>
      </c>
      <c r="X88" s="449">
        <f t="shared" si="94"/>
        <v>1.0690697238306788</v>
      </c>
      <c r="Y88" s="449">
        <f t="shared" si="95"/>
        <v>1.0754481727934226</v>
      </c>
      <c r="Z88" s="449">
        <f t="shared" si="96"/>
        <v>1.1000084761816671</v>
      </c>
      <c r="AA88" s="449">
        <f t="shared" si="97"/>
        <v>1.1245687795699117</v>
      </c>
      <c r="AB88" s="449">
        <f t="shared" si="98"/>
        <v>1.1569692933149545</v>
      </c>
      <c r="AC88" s="449">
        <f t="shared" si="99"/>
        <v>1.1893698070599974</v>
      </c>
      <c r="AD88" s="654">
        <f t="shared" si="121"/>
        <v>1.0677940340381302</v>
      </c>
      <c r="AF88" s="655">
        <f t="shared" si="122"/>
        <v>0.93651019590196616</v>
      </c>
      <c r="AG88" s="655">
        <f t="shared" si="123"/>
        <v>0.99522121400987962</v>
      </c>
      <c r="AH88" s="655">
        <f t="shared" si="124"/>
        <v>1.0011946964975298</v>
      </c>
      <c r="AI88" s="655">
        <f t="shared" si="125"/>
        <v>1.0071681789851796</v>
      </c>
      <c r="AJ88" s="655">
        <f t="shared" si="126"/>
        <v>1.0301691535227162</v>
      </c>
      <c r="AK88" s="655">
        <f t="shared" si="127"/>
        <v>1.053170128060253</v>
      </c>
      <c r="AL88" s="655">
        <f t="shared" si="128"/>
        <v>1.0835135395349473</v>
      </c>
      <c r="AM88" s="655">
        <f t="shared" si="129"/>
        <v>1.1138569510096419</v>
      </c>
      <c r="AO88" s="590" t="s">
        <v>1113</v>
      </c>
      <c r="AP88" s="591">
        <v>12.163002432951942</v>
      </c>
      <c r="AQ88" s="592">
        <v>11.39314389185083</v>
      </c>
      <c r="AR88" s="593">
        <v>10.373287774461328</v>
      </c>
      <c r="AS88" s="594">
        <v>9.511403737380931</v>
      </c>
      <c r="AT88" s="595">
        <v>8.72991432574036</v>
      </c>
    </row>
    <row r="89" spans="4:46" ht="15" x14ac:dyDescent="0.2">
      <c r="D89" s="399" t="str">
        <f t="shared" si="119"/>
        <v>Construction Truck</v>
      </c>
      <c r="E89" s="584" t="s">
        <v>1117</v>
      </c>
      <c r="F89" s="596"/>
      <c r="G89" s="597"/>
      <c r="H89" s="598"/>
      <c r="I89" s="599"/>
      <c r="J89" s="599"/>
      <c r="K89" s="600"/>
      <c r="L89" s="600"/>
      <c r="M89" s="601"/>
      <c r="N89" s="453">
        <f t="shared" si="120"/>
        <v>0</v>
      </c>
      <c r="O89" s="454">
        <f t="shared" si="120"/>
        <v>0</v>
      </c>
      <c r="P89" s="454">
        <f t="shared" si="120"/>
        <v>0</v>
      </c>
      <c r="Q89" s="454">
        <f t="shared" si="120"/>
        <v>0</v>
      </c>
      <c r="R89" s="454">
        <f t="shared" si="120"/>
        <v>0</v>
      </c>
      <c r="S89" s="454">
        <f t="shared" si="120"/>
        <v>0</v>
      </c>
      <c r="T89" s="454">
        <f t="shared" si="120"/>
        <v>0</v>
      </c>
      <c r="U89" s="455">
        <f t="shared" si="120"/>
        <v>0</v>
      </c>
      <c r="V89" s="449"/>
      <c r="W89" s="449"/>
      <c r="X89" s="449"/>
      <c r="Y89" s="449"/>
      <c r="Z89" s="449"/>
      <c r="AA89" s="449"/>
      <c r="AB89" s="449"/>
      <c r="AC89" s="449"/>
      <c r="AD89" s="654"/>
      <c r="AF89" s="662">
        <f>AF53</f>
        <v>1.6444636859820372</v>
      </c>
      <c r="AG89" s="662">
        <f t="shared" ref="AG89:AM89" si="130">AG53</f>
        <v>1.0794027966757322</v>
      </c>
      <c r="AH89" s="662">
        <f t="shared" si="130"/>
        <v>0.98014930083106599</v>
      </c>
      <c r="AI89" s="662">
        <f t="shared" si="130"/>
        <v>0.88089580498639963</v>
      </c>
      <c r="AJ89" s="662">
        <f t="shared" si="130"/>
        <v>0.8879616688769022</v>
      </c>
      <c r="AK89" s="662">
        <f t="shared" si="130"/>
        <v>0.89502753276740454</v>
      </c>
      <c r="AL89" s="662">
        <f t="shared" si="130"/>
        <v>0.89722658259993482</v>
      </c>
      <c r="AM89" s="662">
        <f t="shared" si="130"/>
        <v>0.89942563243246498</v>
      </c>
      <c r="AO89" s="590" t="s">
        <v>1117</v>
      </c>
      <c r="AP89" s="602"/>
      <c r="AQ89" s="603"/>
      <c r="AR89" s="604"/>
      <c r="AS89" s="605"/>
      <c r="AT89" s="606"/>
    </row>
    <row r="90" spans="4:46" ht="15" x14ac:dyDescent="0.2">
      <c r="D90" s="399" t="str">
        <f t="shared" si="119"/>
        <v>Construction Truck</v>
      </c>
      <c r="E90" s="584" t="s">
        <v>1116</v>
      </c>
      <c r="F90" s="585">
        <v>280150.74119966</v>
      </c>
      <c r="G90" s="586">
        <v>124695.03585482571</v>
      </c>
      <c r="H90" s="444">
        <f>AVERAGE(G90,I90)</f>
        <v>100092.50443407503</v>
      </c>
      <c r="I90" s="587">
        <v>75489.973013324343</v>
      </c>
      <c r="J90" s="444">
        <f>AVERAGE(I90,K90)</f>
        <v>73424.01925307895</v>
      </c>
      <c r="K90" s="588">
        <v>71358.065492833557</v>
      </c>
      <c r="L90" s="444">
        <f>AVERAGE(K90,M90)</f>
        <v>71926.66931525823</v>
      </c>
      <c r="M90" s="589">
        <v>72495.273137682903</v>
      </c>
      <c r="N90" s="453">
        <f t="shared" si="120"/>
        <v>6361518.0396460397</v>
      </c>
      <c r="O90" s="454">
        <f t="shared" si="120"/>
        <v>2831510.338498245</v>
      </c>
      <c r="P90" s="454">
        <f t="shared" si="120"/>
        <v>2272848.7879920425</v>
      </c>
      <c r="Q90" s="454">
        <f t="shared" si="120"/>
        <v>1714187.2374858395</v>
      </c>
      <c r="R90" s="454">
        <f t="shared" si="120"/>
        <v>1667274.6287288663</v>
      </c>
      <c r="S90" s="454">
        <f t="shared" si="120"/>
        <v>1620362.0199718936</v>
      </c>
      <c r="T90" s="454">
        <f t="shared" si="120"/>
        <v>1633273.5812916199</v>
      </c>
      <c r="U90" s="455">
        <f t="shared" si="120"/>
        <v>1646185.1426113467</v>
      </c>
      <c r="V90" s="449">
        <f t="shared" si="92"/>
        <v>1</v>
      </c>
      <c r="W90" s="449">
        <f t="shared" si="93"/>
        <v>0.44509978920939952</v>
      </c>
      <c r="X90" s="449">
        <f t="shared" si="94"/>
        <v>0.35728088387508611</v>
      </c>
      <c r="Y90" s="449">
        <f t="shared" si="95"/>
        <v>0.2694619785407727</v>
      </c>
      <c r="Z90" s="449">
        <f t="shared" si="96"/>
        <v>0.26208754236616688</v>
      </c>
      <c r="AA90" s="449">
        <f t="shared" si="97"/>
        <v>0.25471310619156112</v>
      </c>
      <c r="AB90" s="449">
        <f t="shared" si="98"/>
        <v>0.25674274145145659</v>
      </c>
      <c r="AC90" s="449">
        <f t="shared" si="99"/>
        <v>0.258772376711352</v>
      </c>
      <c r="AD90" s="654">
        <f t="shared" ref="AD90:AD92" si="131">_xlfn.FORECAST.LINEAR($AD$4,$W90:$X90,$W$4:$X$4)</f>
        <v>0.37484466494195345</v>
      </c>
      <c r="AF90" s="655">
        <f t="shared" ref="AF90:AF92" si="132">V90/$AD90</f>
        <v>2.6677717292704566</v>
      </c>
      <c r="AG90" s="655">
        <f t="shared" ref="AG90:AG92" si="133">W90/$AD90</f>
        <v>1.1874246343570753</v>
      </c>
      <c r="AH90" s="655">
        <f t="shared" ref="AH90:AH92" si="134">X90/$AD90</f>
        <v>0.95314384141071562</v>
      </c>
      <c r="AI90" s="655">
        <f t="shared" ref="AI90:AI92" si="135">Y90/$AD90</f>
        <v>0.71886304846435578</v>
      </c>
      <c r="AJ90" s="655">
        <f t="shared" ref="AJ90:AJ92" si="136">Z90/$AD90</f>
        <v>0.69918973611843305</v>
      </c>
      <c r="AK90" s="655">
        <f t="shared" ref="AK90:AK92" si="137">AA90/$AD90</f>
        <v>0.67951642377251043</v>
      </c>
      <c r="AL90" s="655">
        <f t="shared" ref="AL90:AL92" si="138">AB90/$AD90</f>
        <v>0.68493102733958999</v>
      </c>
      <c r="AM90" s="655">
        <f t="shared" ref="AM90:AM92" si="139">AC90/$AD90</f>
        <v>0.69034563090666956</v>
      </c>
      <c r="AO90" s="590" t="s">
        <v>1116</v>
      </c>
      <c r="AP90" s="591">
        <v>6.2365059907747922</v>
      </c>
      <c r="AQ90" s="592">
        <v>5.4621669343951371</v>
      </c>
      <c r="AR90" s="593">
        <v>4.9686983257104593</v>
      </c>
      <c r="AS90" s="594">
        <v>4.4308869983856987</v>
      </c>
      <c r="AT90" s="595">
        <v>3.9662332203875681</v>
      </c>
    </row>
    <row r="91" spans="4:46" ht="15" x14ac:dyDescent="0.2">
      <c r="D91" s="399" t="str">
        <f t="shared" si="119"/>
        <v>Construction Truck</v>
      </c>
      <c r="E91" s="584" t="s">
        <v>1151</v>
      </c>
      <c r="F91" s="585">
        <v>74699.19366137321</v>
      </c>
      <c r="G91" s="586">
        <v>76307.057760250711</v>
      </c>
      <c r="H91" s="444">
        <f>AVERAGE(G91,I91)</f>
        <v>76507.066819256201</v>
      </c>
      <c r="I91" s="587">
        <v>76707.07587826169</v>
      </c>
      <c r="J91" s="444">
        <f>AVERAGE(I91,K91)</f>
        <v>77262.357043163385</v>
      </c>
      <c r="K91" s="588">
        <v>77817.63820806508</v>
      </c>
      <c r="L91" s="444">
        <f>AVERAGE(K91,M91)</f>
        <v>78543.353131423515</v>
      </c>
      <c r="M91" s="589">
        <v>79269.06805478195</v>
      </c>
      <c r="N91" s="453">
        <f t="shared" si="120"/>
        <v>1696230.6292281745</v>
      </c>
      <c r="O91" s="454">
        <f t="shared" si="120"/>
        <v>1732741.1750382918</v>
      </c>
      <c r="P91" s="454">
        <f t="shared" si="120"/>
        <v>1737282.8772358573</v>
      </c>
      <c r="Q91" s="454">
        <f t="shared" si="120"/>
        <v>1741824.5794334223</v>
      </c>
      <c r="R91" s="454">
        <f t="shared" si="120"/>
        <v>1754433.6167412347</v>
      </c>
      <c r="S91" s="454">
        <f t="shared" si="120"/>
        <v>1767042.6540490473</v>
      </c>
      <c r="T91" s="454">
        <f t="shared" si="120"/>
        <v>1783521.8129362077</v>
      </c>
      <c r="U91" s="455">
        <f t="shared" si="120"/>
        <v>1800000.9718233682</v>
      </c>
      <c r="V91" s="449">
        <f t="shared" si="92"/>
        <v>1</v>
      </c>
      <c r="W91" s="449">
        <f t="shared" si="93"/>
        <v>1.0215245174689072</v>
      </c>
      <c r="X91" s="449">
        <f t="shared" si="94"/>
        <v>1.0242020438142672</v>
      </c>
      <c r="Y91" s="449">
        <f t="shared" si="95"/>
        <v>1.0268795701596274</v>
      </c>
      <c r="Z91" s="449">
        <f t="shared" si="96"/>
        <v>1.0343131331967186</v>
      </c>
      <c r="AA91" s="449">
        <f t="shared" si="97"/>
        <v>1.0417466962338098</v>
      </c>
      <c r="AB91" s="449">
        <f t="shared" si="98"/>
        <v>1.0514618603177521</v>
      </c>
      <c r="AC91" s="449">
        <f t="shared" si="99"/>
        <v>1.0611770244016947</v>
      </c>
      <c r="AD91" s="654">
        <f t="shared" si="131"/>
        <v>1.0236665385451953</v>
      </c>
      <c r="AF91" s="655">
        <f t="shared" si="132"/>
        <v>0.97688061721854313</v>
      </c>
      <c r="AG91" s="655">
        <f t="shared" si="133"/>
        <v>0.99790750112890048</v>
      </c>
      <c r="AH91" s="655">
        <f t="shared" si="134"/>
        <v>1.0005231247177746</v>
      </c>
      <c r="AI91" s="655">
        <f t="shared" si="135"/>
        <v>1.0031387483066492</v>
      </c>
      <c r="AJ91" s="655">
        <f t="shared" si="136"/>
        <v>1.0104004519544556</v>
      </c>
      <c r="AK91" s="655">
        <f t="shared" si="137"/>
        <v>1.0176621556022623</v>
      </c>
      <c r="AL91" s="655">
        <f t="shared" si="138"/>
        <v>1.0271527110889633</v>
      </c>
      <c r="AM91" s="655">
        <f t="shared" si="139"/>
        <v>1.0366432665756646</v>
      </c>
      <c r="AO91" s="590" t="s">
        <v>1151</v>
      </c>
      <c r="AP91" s="591">
        <v>13.15733229927832</v>
      </c>
      <c r="AQ91" s="592">
        <v>12.08372523506852</v>
      </c>
      <c r="AR91" s="593">
        <v>11.084387942527147</v>
      </c>
      <c r="AS91" s="594">
        <v>10.395192174875143</v>
      </c>
      <c r="AT91" s="595">
        <v>9.891747987713071</v>
      </c>
    </row>
    <row r="92" spans="4:46" ht="15" x14ac:dyDescent="0.2">
      <c r="D92" s="399" t="str">
        <f t="shared" si="119"/>
        <v>Construction Truck</v>
      </c>
      <c r="E92" s="584" t="s">
        <v>1115</v>
      </c>
      <c r="F92" s="585">
        <v>71568.477704220408</v>
      </c>
      <c r="G92" s="586">
        <v>73333.990007705113</v>
      </c>
      <c r="H92" s="444">
        <f>AVERAGE(G92,I92)</f>
        <v>73500.021619370556</v>
      </c>
      <c r="I92" s="587">
        <v>73666.053231035985</v>
      </c>
      <c r="J92" s="444">
        <f>AVERAGE(I92,K92)</f>
        <v>74232.374570268861</v>
      </c>
      <c r="K92" s="588">
        <v>74798.695909501737</v>
      </c>
      <c r="L92" s="444">
        <f>AVERAGE(K92,M92)</f>
        <v>75529.475056817842</v>
      </c>
      <c r="M92" s="589">
        <v>76260.254204133933</v>
      </c>
      <c r="N92" s="453">
        <f t="shared" si="120"/>
        <v>1625139.9515696019</v>
      </c>
      <c r="O92" s="454">
        <f t="shared" si="120"/>
        <v>1665230.2912193926</v>
      </c>
      <c r="P92" s="454">
        <f t="shared" si="120"/>
        <v>1669000.4511277273</v>
      </c>
      <c r="Q92" s="454">
        <f t="shared" si="120"/>
        <v>1672770.6110360618</v>
      </c>
      <c r="R92" s="454">
        <f t="shared" si="120"/>
        <v>1685630.342908764</v>
      </c>
      <c r="S92" s="454">
        <f t="shared" si="120"/>
        <v>1698490.0747814665</v>
      </c>
      <c r="T92" s="454">
        <f t="shared" si="120"/>
        <v>1715084.2294452777</v>
      </c>
      <c r="U92" s="455">
        <f t="shared" si="120"/>
        <v>1731678.3841090889</v>
      </c>
      <c r="V92" s="449">
        <f t="shared" si="92"/>
        <v>1</v>
      </c>
      <c r="W92" s="449">
        <f t="shared" si="93"/>
        <v>1.0246688536646154</v>
      </c>
      <c r="X92" s="449">
        <f t="shared" si="94"/>
        <v>1.0269887522706975</v>
      </c>
      <c r="Y92" s="449">
        <f t="shared" si="95"/>
        <v>1.0293086508767795</v>
      </c>
      <c r="Z92" s="449">
        <f t="shared" si="96"/>
        <v>1.0372216505296907</v>
      </c>
      <c r="AA92" s="449">
        <f t="shared" si="97"/>
        <v>1.0451346501826018</v>
      </c>
      <c r="AB92" s="449">
        <f t="shared" si="98"/>
        <v>1.0553455582633393</v>
      </c>
      <c r="AC92" s="449">
        <f t="shared" si="99"/>
        <v>1.0655564663440766</v>
      </c>
      <c r="AD92" s="654">
        <f t="shared" si="131"/>
        <v>1.0265247725494813</v>
      </c>
      <c r="AF92" s="655">
        <f t="shared" si="132"/>
        <v>0.97416061135708953</v>
      </c>
      <c r="AG92" s="655">
        <f t="shared" si="133"/>
        <v>0.99819203692448988</v>
      </c>
      <c r="AH92" s="655">
        <f t="shared" si="134"/>
        <v>1.0004519907688774</v>
      </c>
      <c r="AI92" s="655">
        <f t="shared" si="135"/>
        <v>1.0027119446132646</v>
      </c>
      <c r="AJ92" s="655">
        <f t="shared" si="136"/>
        <v>1.0104204771928131</v>
      </c>
      <c r="AK92" s="655">
        <f t="shared" si="137"/>
        <v>1.0181290097723612</v>
      </c>
      <c r="AL92" s="655">
        <f t="shared" si="138"/>
        <v>1.0280760742308037</v>
      </c>
      <c r="AM92" s="655">
        <f t="shared" si="139"/>
        <v>1.0380231386892458</v>
      </c>
      <c r="AO92" s="590" t="s">
        <v>1115</v>
      </c>
      <c r="AP92" s="591">
        <v>15.130932144170067</v>
      </c>
      <c r="AQ92" s="592">
        <v>13.896284020328794</v>
      </c>
      <c r="AR92" s="593">
        <v>12.747046133906222</v>
      </c>
      <c r="AS92" s="594">
        <v>11.954471001106414</v>
      </c>
      <c r="AT92" s="595">
        <v>11.375510185870032</v>
      </c>
    </row>
    <row r="93" spans="4:46" ht="15" x14ac:dyDescent="0.25">
      <c r="D93" s="399" t="str">
        <f t="shared" si="119"/>
        <v>Construction Truck</v>
      </c>
      <c r="E93" s="503"/>
      <c r="M93" s="408"/>
      <c r="N93" s="439"/>
      <c r="U93" s="413"/>
      <c r="V93" s="449"/>
      <c r="W93" s="449"/>
      <c r="X93" s="449"/>
      <c r="Y93" s="449"/>
      <c r="Z93" s="449"/>
      <c r="AA93" s="449"/>
      <c r="AB93" s="449"/>
      <c r="AC93" s="449"/>
      <c r="AD93" s="654"/>
      <c r="AF93" s="655"/>
      <c r="AG93" s="655"/>
      <c r="AH93" s="655"/>
      <c r="AI93" s="655"/>
      <c r="AJ93" s="655"/>
      <c r="AK93" s="655"/>
      <c r="AL93" s="655"/>
      <c r="AM93" s="655"/>
    </row>
    <row r="94" spans="4:46" ht="15" x14ac:dyDescent="0.2">
      <c r="D94" s="399" t="str">
        <f t="shared" si="119"/>
        <v>Construction Truck</v>
      </c>
      <c r="E94" s="607" t="s">
        <v>1128</v>
      </c>
      <c r="F94" s="526" t="s">
        <v>1129</v>
      </c>
      <c r="G94" s="527">
        <v>0.08</v>
      </c>
      <c r="H94" s="528"/>
      <c r="M94" s="408"/>
      <c r="N94" s="439" t="s">
        <v>1154</v>
      </c>
      <c r="O94" s="608">
        <v>0.97</v>
      </c>
      <c r="U94" s="413"/>
      <c r="V94" s="449"/>
      <c r="W94" s="449"/>
      <c r="X94" s="449"/>
      <c r="Y94" s="449"/>
      <c r="Z94" s="449"/>
      <c r="AA94" s="449"/>
      <c r="AB94" s="449"/>
      <c r="AC94" s="449"/>
      <c r="AD94" s="654"/>
      <c r="AF94" s="655"/>
      <c r="AG94" s="655"/>
      <c r="AH94" s="655"/>
      <c r="AI94" s="655"/>
      <c r="AJ94" s="655"/>
      <c r="AK94" s="655"/>
      <c r="AL94" s="655"/>
      <c r="AM94" s="655"/>
      <c r="AO94" s="568" t="s">
        <v>1131</v>
      </c>
    </row>
    <row r="95" spans="4:46" ht="15" x14ac:dyDescent="0.2">
      <c r="D95" s="399" t="str">
        <f>E95</f>
        <v>Bus</v>
      </c>
      <c r="E95" s="609" t="s">
        <v>139</v>
      </c>
      <c r="F95" s="427">
        <v>2010</v>
      </c>
      <c r="G95" s="427">
        <v>2020</v>
      </c>
      <c r="H95" s="471"/>
      <c r="I95" s="427">
        <v>2030</v>
      </c>
      <c r="J95" s="427"/>
      <c r="K95" s="427">
        <v>2040</v>
      </c>
      <c r="L95" s="427"/>
      <c r="M95" s="430">
        <v>2050</v>
      </c>
      <c r="N95" s="431" t="e">
        <f>#REF!</f>
        <v>#REF!</v>
      </c>
      <c r="O95" s="432" t="e">
        <f>#REF!</f>
        <v>#REF!</v>
      </c>
      <c r="P95" s="432" t="e">
        <f>#REF!</f>
        <v>#REF!</v>
      </c>
      <c r="Q95" s="432" t="e">
        <f>#REF!</f>
        <v>#REF!</v>
      </c>
      <c r="R95" s="432" t="e">
        <f>#REF!</f>
        <v>#REF!</v>
      </c>
      <c r="S95" s="432" t="e">
        <f>#REF!</f>
        <v>#REF!</v>
      </c>
      <c r="T95" s="432" t="e">
        <f>#REF!</f>
        <v>#REF!</v>
      </c>
      <c r="U95" s="433" t="e">
        <f>#REF!</f>
        <v>#REF!</v>
      </c>
      <c r="V95" s="449"/>
      <c r="W95" s="449"/>
      <c r="X95" s="449"/>
      <c r="Y95" s="449"/>
      <c r="Z95" s="449"/>
      <c r="AA95" s="449"/>
      <c r="AB95" s="449"/>
      <c r="AC95" s="449"/>
      <c r="AD95" s="654"/>
      <c r="AF95" s="655"/>
      <c r="AG95" s="655"/>
      <c r="AH95" s="655"/>
      <c r="AI95" s="655"/>
      <c r="AJ95" s="655"/>
      <c r="AK95" s="655"/>
      <c r="AL95" s="655"/>
      <c r="AM95" s="655"/>
      <c r="AO95" s="570" t="s">
        <v>1153</v>
      </c>
      <c r="AP95" s="427">
        <v>2010</v>
      </c>
      <c r="AQ95" s="427">
        <v>2020</v>
      </c>
      <c r="AR95" s="427">
        <v>2030</v>
      </c>
      <c r="AS95" s="427">
        <v>2040</v>
      </c>
      <c r="AT95" s="427">
        <v>2050</v>
      </c>
    </row>
    <row r="96" spans="4:46" ht="15" x14ac:dyDescent="0.2">
      <c r="D96" s="399" t="str">
        <f t="shared" ref="D96:D104" si="140">D95</f>
        <v>Bus</v>
      </c>
      <c r="E96" s="610" t="s">
        <v>1135</v>
      </c>
      <c r="F96" s="611" t="s">
        <v>878</v>
      </c>
      <c r="G96" s="612" t="s">
        <v>878</v>
      </c>
      <c r="H96" s="613"/>
      <c r="I96" s="614" t="s">
        <v>878</v>
      </c>
      <c r="J96" s="614"/>
      <c r="K96" s="615" t="s">
        <v>878</v>
      </c>
      <c r="L96" s="615"/>
      <c r="M96" s="616" t="s">
        <v>878</v>
      </c>
      <c r="N96" s="439" t="s">
        <v>1137</v>
      </c>
      <c r="O96" s="412" t="s">
        <v>1137</v>
      </c>
      <c r="P96" s="412" t="s">
        <v>1137</v>
      </c>
      <c r="Q96" s="412" t="s">
        <v>1137</v>
      </c>
      <c r="R96" s="412" t="s">
        <v>1137</v>
      </c>
      <c r="S96" s="412" t="s">
        <v>1137</v>
      </c>
      <c r="T96" s="412" t="s">
        <v>1137</v>
      </c>
      <c r="U96" s="413" t="s">
        <v>1137</v>
      </c>
      <c r="V96" s="449"/>
      <c r="W96" s="449"/>
      <c r="X96" s="449"/>
      <c r="Y96" s="449"/>
      <c r="Z96" s="449"/>
      <c r="AA96" s="449"/>
      <c r="AB96" s="449"/>
      <c r="AC96" s="449"/>
      <c r="AD96" s="654"/>
      <c r="AF96" s="655"/>
      <c r="AG96" s="655"/>
      <c r="AH96" s="655"/>
      <c r="AI96" s="655"/>
      <c r="AJ96" s="655"/>
      <c r="AK96" s="655"/>
      <c r="AL96" s="655"/>
      <c r="AM96" s="655"/>
      <c r="AO96" s="617" t="s">
        <v>1139</v>
      </c>
      <c r="AP96" s="618" t="s">
        <v>1140</v>
      </c>
      <c r="AQ96" s="619" t="s">
        <v>1140</v>
      </c>
      <c r="AR96" s="620" t="s">
        <v>1140</v>
      </c>
      <c r="AS96" s="621" t="s">
        <v>1140</v>
      </c>
      <c r="AT96" s="622" t="s">
        <v>1140</v>
      </c>
    </row>
    <row r="97" spans="4:46" ht="15" x14ac:dyDescent="0.2">
      <c r="D97" s="399" t="str">
        <f t="shared" si="140"/>
        <v>Bus</v>
      </c>
      <c r="E97" s="623" t="s">
        <v>1111</v>
      </c>
      <c r="F97" s="624">
        <v>104585.67980691875</v>
      </c>
      <c r="G97" s="625">
        <v>113077.07610471442</v>
      </c>
      <c r="H97" s="444">
        <f t="shared" ref="H97:H104" si="141">AVERAGE(G97,I97)</f>
        <v>115188.39593625024</v>
      </c>
      <c r="I97" s="626">
        <v>117299.71576778605</v>
      </c>
      <c r="J97" s="444">
        <f t="shared" ref="J97:J104" si="142">AVERAGE(I97,K97)</f>
        <v>118657.16814124331</v>
      </c>
      <c r="K97" s="627">
        <v>120014.62051470055</v>
      </c>
      <c r="L97" s="444">
        <f t="shared" ref="L97:L104" si="143">AVERAGE(K97,M97)</f>
        <v>121564.25896065209</v>
      </c>
      <c r="M97" s="628">
        <v>123113.89740660363</v>
      </c>
      <c r="N97" s="453">
        <f t="shared" ref="N97:U104" si="144">F97*$E$2*$O$2</f>
        <v>2374877.4889236866</v>
      </c>
      <c r="O97" s="454">
        <f t="shared" si="144"/>
        <v>2567695.72134704</v>
      </c>
      <c r="P97" s="454">
        <f t="shared" si="144"/>
        <v>2615638.479371747</v>
      </c>
      <c r="Q97" s="454">
        <f t="shared" si="144"/>
        <v>2663581.2373964535</v>
      </c>
      <c r="R97" s="454">
        <f t="shared" si="144"/>
        <v>2694405.5633458691</v>
      </c>
      <c r="S97" s="454">
        <f t="shared" si="144"/>
        <v>2725229.8892952842</v>
      </c>
      <c r="T97" s="454">
        <f t="shared" si="144"/>
        <v>2760418.2771133413</v>
      </c>
      <c r="U97" s="455">
        <f t="shared" si="144"/>
        <v>2795606.6649313984</v>
      </c>
      <c r="V97" s="449">
        <f t="shared" si="92"/>
        <v>1</v>
      </c>
      <c r="W97" s="449">
        <f t="shared" si="93"/>
        <v>1.0811908122935385</v>
      </c>
      <c r="X97" s="449">
        <f t="shared" si="94"/>
        <v>1.1013782780673771</v>
      </c>
      <c r="Y97" s="449">
        <f t="shared" si="95"/>
        <v>1.1215657438412159</v>
      </c>
      <c r="Z97" s="449">
        <f t="shared" si="96"/>
        <v>1.1345450769197341</v>
      </c>
      <c r="AA97" s="449">
        <f t="shared" si="97"/>
        <v>1.1475244099982522</v>
      </c>
      <c r="AB97" s="449">
        <f t="shared" si="98"/>
        <v>1.1623413376006966</v>
      </c>
      <c r="AC97" s="449">
        <f t="shared" si="99"/>
        <v>1.1771582652031409</v>
      </c>
      <c r="AD97" s="654">
        <f t="shared" ref="AD97:AD104" si="145">_xlfn.FORECAST.LINEAR($AD$4,$W97:$X97,$W$4:$X$4)</f>
        <v>1.0973407849126096</v>
      </c>
      <c r="AF97" s="655">
        <f t="shared" ref="AF97:AF104" si="146">V97/$AD97</f>
        <v>0.91129393325122643</v>
      </c>
      <c r="AG97" s="655">
        <f t="shared" ref="AG97:AG104" si="147">W97/$AD97</f>
        <v>0.98528262793006716</v>
      </c>
      <c r="AH97" s="655">
        <f t="shared" ref="AH97:AH104" si="148">X97/$AD97</f>
        <v>1.0036793430174831</v>
      </c>
      <c r="AI97" s="655">
        <f t="shared" ref="AI97:AI104" si="149">Y97/$AD97</f>
        <v>1.0220760581048991</v>
      </c>
      <c r="AJ97" s="655">
        <f t="shared" ref="AJ97:AJ104" si="150">Z97/$AD97</f>
        <v>1.0339040455969997</v>
      </c>
      <c r="AK97" s="655">
        <f t="shared" ref="AK97:AK104" si="151">AA97/$AD97</f>
        <v>1.0457320330891002</v>
      </c>
      <c r="AL97" s="655">
        <f t="shared" ref="AL97:AL104" si="152">AB97/$AD97</f>
        <v>1.0592346093226304</v>
      </c>
      <c r="AM97" s="655">
        <f t="shared" ref="AM97:AM104" si="153">AC97/$AD97</f>
        <v>1.0727371855561605</v>
      </c>
      <c r="AO97" s="629" t="s">
        <v>1111</v>
      </c>
      <c r="AP97" s="630">
        <v>13.994490402622045</v>
      </c>
      <c r="AQ97" s="631">
        <v>13.191801941531427</v>
      </c>
      <c r="AR97" s="632">
        <v>11.734984998533537</v>
      </c>
      <c r="AS97" s="633">
        <v>11.220071176529693</v>
      </c>
      <c r="AT97" s="634">
        <v>10.791662866044483</v>
      </c>
    </row>
    <row r="98" spans="4:46" ht="15" x14ac:dyDescent="0.2">
      <c r="D98" s="399" t="str">
        <f t="shared" si="140"/>
        <v>Bus</v>
      </c>
      <c r="E98" s="623" t="s">
        <v>1149</v>
      </c>
      <c r="F98" s="624">
        <v>112781.74324159419</v>
      </c>
      <c r="G98" s="625">
        <v>119843.62290240868</v>
      </c>
      <c r="H98" s="444">
        <f t="shared" si="141"/>
        <v>120931.82437835461</v>
      </c>
      <c r="I98" s="626">
        <v>122020.02585430053</v>
      </c>
      <c r="J98" s="444">
        <f t="shared" si="142"/>
        <v>122869.25200041107</v>
      </c>
      <c r="K98" s="627">
        <v>123718.47814652159</v>
      </c>
      <c r="L98" s="444">
        <f t="shared" si="143"/>
        <v>124937.38050446415</v>
      </c>
      <c r="M98" s="628">
        <v>126156.2828624067</v>
      </c>
      <c r="N98" s="453">
        <f t="shared" si="144"/>
        <v>2560989.4555403017</v>
      </c>
      <c r="O98" s="454">
        <f t="shared" si="144"/>
        <v>2721346.9640148692</v>
      </c>
      <c r="P98" s="454">
        <f t="shared" si="144"/>
        <v>2746057.2799339187</v>
      </c>
      <c r="Q98" s="454">
        <f t="shared" si="144"/>
        <v>2770767.5958529678</v>
      </c>
      <c r="R98" s="454">
        <f t="shared" si="144"/>
        <v>2790051.3836633707</v>
      </c>
      <c r="S98" s="454">
        <f t="shared" si="144"/>
        <v>2809335.1714737732</v>
      </c>
      <c r="T98" s="454">
        <f t="shared" si="144"/>
        <v>2837013.375377194</v>
      </c>
      <c r="U98" s="455">
        <f t="shared" si="144"/>
        <v>2864691.5792806144</v>
      </c>
      <c r="V98" s="449">
        <f t="shared" si="92"/>
        <v>1</v>
      </c>
      <c r="W98" s="449">
        <f t="shared" si="93"/>
        <v>1.0626154504961585</v>
      </c>
      <c r="X98" s="449">
        <f t="shared" si="94"/>
        <v>1.0722641883562822</v>
      </c>
      <c r="Y98" s="449">
        <f t="shared" si="95"/>
        <v>1.081912926216406</v>
      </c>
      <c r="Z98" s="449">
        <f t="shared" si="96"/>
        <v>1.0894427455089786</v>
      </c>
      <c r="AA98" s="449">
        <f t="shared" si="97"/>
        <v>1.0969725648015511</v>
      </c>
      <c r="AB98" s="449">
        <f t="shared" si="98"/>
        <v>1.1077801859901286</v>
      </c>
      <c r="AC98" s="449">
        <f t="shared" si="99"/>
        <v>1.1185878071787061</v>
      </c>
      <c r="AD98" s="654">
        <f t="shared" si="145"/>
        <v>1.0703344407842574</v>
      </c>
      <c r="AF98" s="655">
        <f t="shared" si="146"/>
        <v>0.93428741699396134</v>
      </c>
      <c r="AG98" s="655">
        <f t="shared" si="147"/>
        <v>0.99278824450193059</v>
      </c>
      <c r="AH98" s="655">
        <f t="shared" si="148"/>
        <v>1.0018029388745173</v>
      </c>
      <c r="AI98" s="655">
        <f t="shared" si="149"/>
        <v>1.0108176332471044</v>
      </c>
      <c r="AJ98" s="655">
        <f t="shared" si="150"/>
        <v>1.0178526486643933</v>
      </c>
      <c r="AK98" s="655">
        <f t="shared" si="151"/>
        <v>1.0248876640816822</v>
      </c>
      <c r="AL98" s="655">
        <f t="shared" si="152"/>
        <v>1.0349850885658074</v>
      </c>
      <c r="AM98" s="655">
        <f t="shared" si="153"/>
        <v>1.0450825130499326</v>
      </c>
      <c r="AO98" s="629" t="s">
        <v>1149</v>
      </c>
      <c r="AP98" s="630">
        <v>11.31113245814023</v>
      </c>
      <c r="AQ98" s="631">
        <v>11.053344322508508</v>
      </c>
      <c r="AR98" s="632">
        <v>9.8702835330130654</v>
      </c>
      <c r="AS98" s="633">
        <v>9.4345222548033352</v>
      </c>
      <c r="AT98" s="634">
        <v>9.071868202881431</v>
      </c>
    </row>
    <row r="99" spans="4:46" ht="15" x14ac:dyDescent="0.2">
      <c r="D99" s="399" t="str">
        <f t="shared" si="140"/>
        <v>Bus</v>
      </c>
      <c r="E99" s="623" t="s">
        <v>1150</v>
      </c>
      <c r="F99" s="624">
        <v>113443.27980691874</v>
      </c>
      <c r="G99" s="625">
        <v>117649.86503170698</v>
      </c>
      <c r="H99" s="444">
        <f t="shared" si="141"/>
        <v>118979.95394617732</v>
      </c>
      <c r="I99" s="626">
        <v>120310.04286064766</v>
      </c>
      <c r="J99" s="444">
        <f t="shared" si="142"/>
        <v>121286.87552080402</v>
      </c>
      <c r="K99" s="627">
        <v>122263.7081809604</v>
      </c>
      <c r="L99" s="444">
        <f t="shared" si="143"/>
        <v>123565.6368522952</v>
      </c>
      <c r="M99" s="628">
        <v>124867.56552362998</v>
      </c>
      <c r="N99" s="453">
        <f t="shared" si="144"/>
        <v>2576011.2854886237</v>
      </c>
      <c r="O99" s="454">
        <f t="shared" si="144"/>
        <v>2671532.2456624438</v>
      </c>
      <c r="P99" s="454">
        <f t="shared" si="144"/>
        <v>2701735.2163470937</v>
      </c>
      <c r="Q99" s="454">
        <f t="shared" si="144"/>
        <v>2731938.1870317436</v>
      </c>
      <c r="R99" s="454">
        <f t="shared" si="144"/>
        <v>2754119.5975205754</v>
      </c>
      <c r="S99" s="454">
        <f t="shared" si="144"/>
        <v>2776301.0080094072</v>
      </c>
      <c r="T99" s="454">
        <f t="shared" si="144"/>
        <v>2805864.5304672192</v>
      </c>
      <c r="U99" s="455">
        <f t="shared" si="144"/>
        <v>2835428.0529250302</v>
      </c>
      <c r="V99" s="449">
        <f t="shared" si="92"/>
        <v>1</v>
      </c>
      <c r="W99" s="449">
        <f t="shared" si="93"/>
        <v>1.0370809556277629</v>
      </c>
      <c r="X99" s="449">
        <f t="shared" si="94"/>
        <v>1.0488056599622475</v>
      </c>
      <c r="Y99" s="449">
        <f t="shared" si="95"/>
        <v>1.0605303642967323</v>
      </c>
      <c r="Z99" s="449">
        <f t="shared" si="96"/>
        <v>1.0691411225701084</v>
      </c>
      <c r="AA99" s="449">
        <f t="shared" si="97"/>
        <v>1.0777518808434849</v>
      </c>
      <c r="AB99" s="449">
        <f t="shared" si="98"/>
        <v>1.0892283532581637</v>
      </c>
      <c r="AC99" s="449">
        <f t="shared" si="99"/>
        <v>1.1007048256728424</v>
      </c>
      <c r="AD99" s="654">
        <f t="shared" si="145"/>
        <v>1.0464607190953505</v>
      </c>
      <c r="AF99" s="655">
        <f t="shared" si="146"/>
        <v>0.95560204196148413</v>
      </c>
      <c r="AG99" s="655">
        <f t="shared" si="147"/>
        <v>0.99103667887725755</v>
      </c>
      <c r="AH99" s="655">
        <f t="shared" si="148"/>
        <v>1.0022408302806856</v>
      </c>
      <c r="AI99" s="655">
        <f t="shared" si="149"/>
        <v>1.013444981684114</v>
      </c>
      <c r="AJ99" s="655">
        <f t="shared" si="150"/>
        <v>1.021673439872989</v>
      </c>
      <c r="AK99" s="655">
        <f t="shared" si="151"/>
        <v>1.0299018980618644</v>
      </c>
      <c r="AL99" s="655">
        <f t="shared" si="152"/>
        <v>1.040868838535846</v>
      </c>
      <c r="AM99" s="655">
        <f t="shared" si="153"/>
        <v>1.0518357790098276</v>
      </c>
      <c r="AO99" s="629" t="s">
        <v>1150</v>
      </c>
      <c r="AP99" s="630">
        <v>12.018078236773993</v>
      </c>
      <c r="AQ99" s="631">
        <v>11.74417834266529</v>
      </c>
      <c r="AR99" s="632">
        <v>10.487176253826384</v>
      </c>
      <c r="AS99" s="633">
        <v>10.024179895728546</v>
      </c>
      <c r="AT99" s="634">
        <v>9.6388599655615206</v>
      </c>
    </row>
    <row r="100" spans="4:46" ht="15" x14ac:dyDescent="0.2">
      <c r="D100" s="399" t="str">
        <f t="shared" si="140"/>
        <v>Bus</v>
      </c>
      <c r="E100" s="623" t="s">
        <v>1113</v>
      </c>
      <c r="F100" s="624">
        <v>116351.42843540911</v>
      </c>
      <c r="G100" s="625">
        <v>119377.37392363261</v>
      </c>
      <c r="H100" s="444">
        <f t="shared" si="141"/>
        <v>119821.79555029134</v>
      </c>
      <c r="I100" s="626">
        <v>120266.21717695009</v>
      </c>
      <c r="J100" s="444">
        <f t="shared" si="142"/>
        <v>120754.76021338374</v>
      </c>
      <c r="K100" s="627">
        <v>121243.30324981739</v>
      </c>
      <c r="L100" s="444">
        <f t="shared" si="143"/>
        <v>122275.5039036619</v>
      </c>
      <c r="M100" s="628">
        <v>123307.70455750641</v>
      </c>
      <c r="N100" s="453">
        <f t="shared" si="144"/>
        <v>2642048.0194372535</v>
      </c>
      <c r="O100" s="454">
        <f t="shared" si="144"/>
        <v>2710759.6235111486</v>
      </c>
      <c r="P100" s="454">
        <f t="shared" si="144"/>
        <v>2720851.3197996956</v>
      </c>
      <c r="Q100" s="454">
        <f t="shared" si="144"/>
        <v>2730943.0160882436</v>
      </c>
      <c r="R100" s="454">
        <f t="shared" si="144"/>
        <v>2742036.5985150025</v>
      </c>
      <c r="S100" s="454">
        <f t="shared" si="144"/>
        <v>2753130.1809417619</v>
      </c>
      <c r="T100" s="454">
        <f t="shared" si="144"/>
        <v>2776568.8591756579</v>
      </c>
      <c r="U100" s="455">
        <f t="shared" si="144"/>
        <v>2800007.5374095538</v>
      </c>
      <c r="V100" s="449">
        <f t="shared" si="92"/>
        <v>1</v>
      </c>
      <c r="W100" s="449">
        <f t="shared" si="93"/>
        <v>1.0260069474772568</v>
      </c>
      <c r="X100" s="449">
        <f t="shared" si="94"/>
        <v>1.0298265965579336</v>
      </c>
      <c r="Y100" s="449">
        <f t="shared" si="95"/>
        <v>1.0336462456386104</v>
      </c>
      <c r="Z100" s="449">
        <f t="shared" si="96"/>
        <v>1.0378451028679814</v>
      </c>
      <c r="AA100" s="449">
        <f t="shared" si="97"/>
        <v>1.0420439600973523</v>
      </c>
      <c r="AB100" s="449">
        <f t="shared" si="98"/>
        <v>1.0509153651821426</v>
      </c>
      <c r="AC100" s="449">
        <f t="shared" si="99"/>
        <v>1.059786770266933</v>
      </c>
      <c r="AD100" s="654">
        <f t="shared" si="145"/>
        <v>1.0290626667417981</v>
      </c>
      <c r="AF100" s="655">
        <f t="shared" si="146"/>
        <v>0.97175811767244857</v>
      </c>
      <c r="AG100" s="655">
        <f t="shared" si="147"/>
        <v>0.99703057999935396</v>
      </c>
      <c r="AH100" s="655">
        <f t="shared" si="148"/>
        <v>1.0007423550001617</v>
      </c>
      <c r="AI100" s="655">
        <f t="shared" si="149"/>
        <v>1.0044541300009695</v>
      </c>
      <c r="AJ100" s="655">
        <f t="shared" si="150"/>
        <v>1.0085344035985584</v>
      </c>
      <c r="AK100" s="655">
        <f t="shared" si="151"/>
        <v>1.0126146771961473</v>
      </c>
      <c r="AL100" s="655">
        <f t="shared" si="152"/>
        <v>1.0212355371024529</v>
      </c>
      <c r="AM100" s="655">
        <f t="shared" si="153"/>
        <v>1.0298563970087584</v>
      </c>
      <c r="AO100" s="629" t="s">
        <v>1113</v>
      </c>
      <c r="AP100" s="630">
        <v>9.8972409008726991</v>
      </c>
      <c r="AQ100" s="631">
        <v>9.7369274546123403</v>
      </c>
      <c r="AR100" s="632">
        <v>8.8490586509521663</v>
      </c>
      <c r="AS100" s="633">
        <v>8.4852977340198574</v>
      </c>
      <c r="AT100" s="634">
        <v>8.0973329655812751</v>
      </c>
    </row>
    <row r="101" spans="4:46" ht="15" x14ac:dyDescent="0.2">
      <c r="D101" s="399" t="str">
        <f t="shared" si="140"/>
        <v>Bus</v>
      </c>
      <c r="E101" s="623" t="s">
        <v>1117</v>
      </c>
      <c r="F101" s="624">
        <v>210032.009662809</v>
      </c>
      <c r="G101" s="625">
        <v>160147.05094959697</v>
      </c>
      <c r="H101" s="444">
        <f t="shared" si="141"/>
        <v>151867.75591154594</v>
      </c>
      <c r="I101" s="626">
        <v>143588.46087349489</v>
      </c>
      <c r="J101" s="444">
        <f t="shared" si="142"/>
        <v>144564.87323401903</v>
      </c>
      <c r="K101" s="627">
        <v>145541.28559454315</v>
      </c>
      <c r="L101" s="444">
        <f t="shared" si="143"/>
        <v>146467.9438683865</v>
      </c>
      <c r="M101" s="628">
        <v>147394.60214222985</v>
      </c>
      <c r="N101" s="453">
        <f t="shared" si="144"/>
        <v>4769298.1737315217</v>
      </c>
      <c r="O101" s="454">
        <f t="shared" si="144"/>
        <v>3636536.3491432052</v>
      </c>
      <c r="P101" s="454">
        <f t="shared" si="144"/>
        <v>3448534.4023535051</v>
      </c>
      <c r="Q101" s="454">
        <f t="shared" si="144"/>
        <v>3260532.4555638046</v>
      </c>
      <c r="R101" s="454">
        <f t="shared" si="144"/>
        <v>3282704.3221061127</v>
      </c>
      <c r="S101" s="454">
        <f t="shared" si="144"/>
        <v>3304876.1886484213</v>
      </c>
      <c r="T101" s="454">
        <f t="shared" si="144"/>
        <v>3325918.2651405209</v>
      </c>
      <c r="U101" s="455">
        <f t="shared" si="144"/>
        <v>3346960.3416326209</v>
      </c>
      <c r="V101" s="449">
        <f t="shared" si="92"/>
        <v>1</v>
      </c>
      <c r="W101" s="449">
        <f t="shared" si="93"/>
        <v>0.76248878067062886</v>
      </c>
      <c r="X101" s="449">
        <f t="shared" si="94"/>
        <v>0.72306957475366973</v>
      </c>
      <c r="Y101" s="449">
        <f t="shared" si="95"/>
        <v>0.68365036883671038</v>
      </c>
      <c r="Z101" s="449">
        <f t="shared" si="96"/>
        <v>0.68829924289210653</v>
      </c>
      <c r="AA101" s="449">
        <f t="shared" si="97"/>
        <v>0.69294811694750258</v>
      </c>
      <c r="AB101" s="449">
        <f t="shared" si="98"/>
        <v>0.69736010288874561</v>
      </c>
      <c r="AC101" s="449">
        <f t="shared" si="99"/>
        <v>0.70177208882998876</v>
      </c>
      <c r="AD101" s="654">
        <f t="shared" si="145"/>
        <v>0.73095341593706031</v>
      </c>
      <c r="AF101" s="655">
        <f t="shared" si="146"/>
        <v>1.3680762387819614</v>
      </c>
      <c r="AG101" s="655">
        <f t="shared" si="147"/>
        <v>1.0431427831733178</v>
      </c>
      <c r="AH101" s="655">
        <f t="shared" si="148"/>
        <v>0.98921430420667267</v>
      </c>
      <c r="AI101" s="655">
        <f t="shared" si="149"/>
        <v>0.93528582524002735</v>
      </c>
      <c r="AJ101" s="655">
        <f t="shared" si="150"/>
        <v>0.94164583937230473</v>
      </c>
      <c r="AK101" s="655">
        <f t="shared" si="151"/>
        <v>0.948005853504582</v>
      </c>
      <c r="AL101" s="655">
        <f t="shared" si="152"/>
        <v>0.95404178663663664</v>
      </c>
      <c r="AM101" s="655">
        <f t="shared" si="153"/>
        <v>0.9600777197686915</v>
      </c>
      <c r="AO101" s="629" t="s">
        <v>1117</v>
      </c>
      <c r="AP101" s="630">
        <v>4.2967374340531439</v>
      </c>
      <c r="AQ101" s="631">
        <v>4.1516717578834097</v>
      </c>
      <c r="AR101" s="632">
        <v>3.9381110207044951</v>
      </c>
      <c r="AS101" s="633">
        <v>3.7593629578837526</v>
      </c>
      <c r="AT101" s="634">
        <v>3.5746569593351674</v>
      </c>
    </row>
    <row r="102" spans="4:46" ht="15" x14ac:dyDescent="0.2">
      <c r="D102" s="399" t="str">
        <f t="shared" si="140"/>
        <v>Bus</v>
      </c>
      <c r="E102" s="623" t="s">
        <v>1116</v>
      </c>
      <c r="F102" s="624">
        <v>277340.96449320531</v>
      </c>
      <c r="G102" s="625">
        <v>162518.18115955184</v>
      </c>
      <c r="H102" s="444">
        <f t="shared" si="141"/>
        <v>144863.97068257336</v>
      </c>
      <c r="I102" s="626">
        <v>127209.76020559487</v>
      </c>
      <c r="J102" s="444">
        <f t="shared" si="142"/>
        <v>125207.46042029635</v>
      </c>
      <c r="K102" s="627">
        <v>123205.16063499784</v>
      </c>
      <c r="L102" s="444">
        <f t="shared" si="143"/>
        <v>122962.68940722018</v>
      </c>
      <c r="M102" s="628">
        <v>122720.21817944253</v>
      </c>
      <c r="N102" s="453">
        <f t="shared" si="144"/>
        <v>6297715.0843907837</v>
      </c>
      <c r="O102" s="454">
        <f>O101*$N$102/$N$101*($O$94^(COUNT($N101:O101)-1))</f>
        <v>4657878.9828369115</v>
      </c>
      <c r="P102" s="454">
        <f>P101*$N$102/$N$101*($O$94^(COUNT($N101:P101)-1))</f>
        <v>4284563.3154619941</v>
      </c>
      <c r="Q102" s="454">
        <f>Q101*$N$102/$N$101*($O$94^(COUNT($N101:Q101)-1))</f>
        <v>3929454.4970450173</v>
      </c>
      <c r="R102" s="454">
        <f>R101*$N$102/$N$101*($O$94^(COUNT($N101:R101)-1))</f>
        <v>3837489.8313890011</v>
      </c>
      <c r="S102" s="454">
        <f>S101*$N$102/$N$101*($O$94^(COUNT($N101:S101)-1))</f>
        <v>3747506.5366250062</v>
      </c>
      <c r="T102" s="454">
        <f>T101*$N$102/$N$101*($O$94^(COUNT($N101:T101)-1))</f>
        <v>3658225.8262062594</v>
      </c>
      <c r="U102" s="454">
        <f>U101*$N$102/$N$101*($O$94^(COUNT($N101:U101)-1))</f>
        <v>3570929.2025296749</v>
      </c>
      <c r="V102" s="449">
        <f t="shared" si="92"/>
        <v>1</v>
      </c>
      <c r="W102" s="449">
        <f t="shared" si="93"/>
        <v>0.58598693293119142</v>
      </c>
      <c r="X102" s="449">
        <f t="shared" si="94"/>
        <v>0.52233167555066484</v>
      </c>
      <c r="Y102" s="449">
        <f t="shared" si="95"/>
        <v>0.4586764181701381</v>
      </c>
      <c r="Z102" s="449">
        <f t="shared" si="96"/>
        <v>0.45145678587038973</v>
      </c>
      <c r="AA102" s="449">
        <f t="shared" si="97"/>
        <v>0.44423715357064136</v>
      </c>
      <c r="AB102" s="449">
        <f t="shared" si="98"/>
        <v>0.44336288233479731</v>
      </c>
      <c r="AC102" s="449">
        <f t="shared" si="99"/>
        <v>0.44248861109895327</v>
      </c>
      <c r="AD102" s="654">
        <f t="shared" si="145"/>
        <v>0.53506272702677293</v>
      </c>
      <c r="AF102" s="655">
        <f t="shared" si="146"/>
        <v>1.8689397513386556</v>
      </c>
      <c r="AG102" s="655">
        <f t="shared" si="147"/>
        <v>1.0951742727201224</v>
      </c>
      <c r="AH102" s="655">
        <f t="shared" si="148"/>
        <v>0.97620643181996292</v>
      </c>
      <c r="AI102" s="655">
        <f t="shared" si="149"/>
        <v>0.85723859091980315</v>
      </c>
      <c r="AJ102" s="655">
        <f t="shared" si="150"/>
        <v>0.84374553312475487</v>
      </c>
      <c r="AK102" s="655">
        <f t="shared" si="151"/>
        <v>0.8302524753297067</v>
      </c>
      <c r="AL102" s="655">
        <f t="shared" si="152"/>
        <v>0.82861851506358575</v>
      </c>
      <c r="AM102" s="655">
        <f t="shared" si="153"/>
        <v>0.8269845547974648</v>
      </c>
      <c r="AO102" s="629" t="s">
        <v>1116</v>
      </c>
      <c r="AP102" s="630">
        <v>6.6335595473101172</v>
      </c>
      <c r="AQ102" s="631">
        <v>6.1972203681762217</v>
      </c>
      <c r="AR102" s="632">
        <v>5.6940560898496049</v>
      </c>
      <c r="AS102" s="633">
        <v>5.273904651666518</v>
      </c>
      <c r="AT102" s="634">
        <v>4.8730406223495022</v>
      </c>
    </row>
    <row r="103" spans="4:46" ht="15" x14ac:dyDescent="0.2">
      <c r="D103" s="399" t="str">
        <f t="shared" si="140"/>
        <v>Bus</v>
      </c>
      <c r="E103" s="623" t="s">
        <v>1151</v>
      </c>
      <c r="F103" s="624">
        <v>118745.67980691875</v>
      </c>
      <c r="G103" s="625">
        <v>121980.88232500074</v>
      </c>
      <c r="H103" s="444">
        <f t="shared" si="141"/>
        <v>123266.32101324902</v>
      </c>
      <c r="I103" s="626">
        <v>124551.75970149731</v>
      </c>
      <c r="J103" s="444">
        <f t="shared" si="142"/>
        <v>125552.84139797505</v>
      </c>
      <c r="K103" s="627">
        <v>126553.92309445278</v>
      </c>
      <c r="L103" s="444">
        <f t="shared" si="143"/>
        <v>127857.69303261595</v>
      </c>
      <c r="M103" s="628">
        <v>129161.46297077912</v>
      </c>
      <c r="N103" s="453">
        <f t="shared" si="144"/>
        <v>2696415.4404409723</v>
      </c>
      <c r="O103" s="454">
        <f t="shared" si="144"/>
        <v>2769878.7448482919</v>
      </c>
      <c r="P103" s="454">
        <f t="shared" si="144"/>
        <v>2799067.8213045364</v>
      </c>
      <c r="Q103" s="454">
        <f t="shared" si="144"/>
        <v>2828256.897760781</v>
      </c>
      <c r="R103" s="454">
        <f t="shared" si="144"/>
        <v>2850988.9428163529</v>
      </c>
      <c r="S103" s="454">
        <f t="shared" si="144"/>
        <v>2873720.9878719253</v>
      </c>
      <c r="T103" s="454">
        <f t="shared" si="144"/>
        <v>2903326.3208639305</v>
      </c>
      <c r="U103" s="455">
        <f t="shared" si="144"/>
        <v>2932931.6538559366</v>
      </c>
      <c r="V103" s="449">
        <f t="shared" si="92"/>
        <v>1</v>
      </c>
      <c r="W103" s="449">
        <f t="shared" si="93"/>
        <v>1.0272448018600968</v>
      </c>
      <c r="X103" s="449">
        <f t="shared" si="94"/>
        <v>1.0380699425333273</v>
      </c>
      <c r="Y103" s="449">
        <f t="shared" si="95"/>
        <v>1.0488950832065578</v>
      </c>
      <c r="Z103" s="449">
        <f t="shared" si="96"/>
        <v>1.0573255515663793</v>
      </c>
      <c r="AA103" s="449">
        <f t="shared" si="97"/>
        <v>1.0657560199262011</v>
      </c>
      <c r="AB103" s="449">
        <f t="shared" si="98"/>
        <v>1.0767355346359833</v>
      </c>
      <c r="AC103" s="449">
        <f t="shared" si="99"/>
        <v>1.0877150493457657</v>
      </c>
      <c r="AD103" s="654">
        <f t="shared" si="145"/>
        <v>1.0359049143986807</v>
      </c>
      <c r="AF103" s="655">
        <f t="shared" si="146"/>
        <v>0.96533956553384759</v>
      </c>
      <c r="AG103" s="655">
        <f t="shared" si="147"/>
        <v>0.99164005072452921</v>
      </c>
      <c r="AH103" s="655">
        <f t="shared" si="148"/>
        <v>1.0020899873188682</v>
      </c>
      <c r="AI103" s="655">
        <f t="shared" si="149"/>
        <v>1.0125399239132074</v>
      </c>
      <c r="AJ103" s="655">
        <f t="shared" si="150"/>
        <v>1.0206781885769243</v>
      </c>
      <c r="AK103" s="655">
        <f t="shared" si="151"/>
        <v>1.0288164532406416</v>
      </c>
      <c r="AL103" s="655">
        <f t="shared" si="152"/>
        <v>1.0394154132003552</v>
      </c>
      <c r="AM103" s="655">
        <f t="shared" si="153"/>
        <v>1.0500143731600691</v>
      </c>
      <c r="AO103" s="629" t="s">
        <v>1151</v>
      </c>
      <c r="AP103" s="630">
        <v>13.994490402622045</v>
      </c>
      <c r="AQ103" s="631">
        <v>13.191801941531427</v>
      </c>
      <c r="AR103" s="632">
        <v>11.734984998533537</v>
      </c>
      <c r="AS103" s="633">
        <v>11.220071176529693</v>
      </c>
      <c r="AT103" s="634">
        <v>10.791662866044483</v>
      </c>
    </row>
    <row r="104" spans="4:46" ht="15" x14ac:dyDescent="0.2">
      <c r="D104" s="399" t="str">
        <f t="shared" si="140"/>
        <v>Bus</v>
      </c>
      <c r="E104" s="623" t="s">
        <v>1115</v>
      </c>
      <c r="F104" s="624">
        <v>116405.99579555681</v>
      </c>
      <c r="G104" s="625">
        <v>119894.70049649201</v>
      </c>
      <c r="H104" s="444">
        <f t="shared" si="141"/>
        <v>121154.48362723406</v>
      </c>
      <c r="I104" s="626">
        <v>122414.26675797613</v>
      </c>
      <c r="J104" s="444">
        <f t="shared" si="142"/>
        <v>123434.96810514023</v>
      </c>
      <c r="K104" s="627">
        <v>124455.66945230431</v>
      </c>
      <c r="L104" s="444">
        <f t="shared" si="143"/>
        <v>125768.60854731036</v>
      </c>
      <c r="M104" s="628">
        <v>127081.54764231641</v>
      </c>
      <c r="N104" s="453">
        <f t="shared" si="144"/>
        <v>2643287.1068102475</v>
      </c>
      <c r="O104" s="454">
        <f t="shared" si="144"/>
        <v>2722506.8075861959</v>
      </c>
      <c r="P104" s="454">
        <f t="shared" si="144"/>
        <v>2751113.3109205766</v>
      </c>
      <c r="Q104" s="454">
        <f t="shared" si="144"/>
        <v>2779719.8142549582</v>
      </c>
      <c r="R104" s="454">
        <f t="shared" si="144"/>
        <v>2802897.3721842007</v>
      </c>
      <c r="S104" s="454">
        <f t="shared" si="144"/>
        <v>2826074.9301134432</v>
      </c>
      <c r="T104" s="454">
        <f t="shared" si="144"/>
        <v>2855888.4715735563</v>
      </c>
      <c r="U104" s="455">
        <f t="shared" si="144"/>
        <v>2885702.0130336694</v>
      </c>
      <c r="V104" s="449">
        <f t="shared" si="92"/>
        <v>1</v>
      </c>
      <c r="W104" s="449">
        <f t="shared" si="93"/>
        <v>1.0299701461002266</v>
      </c>
      <c r="X104" s="449">
        <f t="shared" si="94"/>
        <v>1.0407924677695897</v>
      </c>
      <c r="Y104" s="449">
        <f t="shared" si="95"/>
        <v>1.0516147894389531</v>
      </c>
      <c r="Z104" s="449">
        <f t="shared" si="96"/>
        <v>1.0603832496904058</v>
      </c>
      <c r="AA104" s="449">
        <f t="shared" si="97"/>
        <v>1.0691517099418582</v>
      </c>
      <c r="AB104" s="449">
        <f t="shared" si="98"/>
        <v>1.0804306744490813</v>
      </c>
      <c r="AC104" s="449">
        <f t="shared" si="99"/>
        <v>1.0917096389563044</v>
      </c>
      <c r="AD104" s="654">
        <f t="shared" si="145"/>
        <v>1.0386280034357172</v>
      </c>
      <c r="AF104" s="655">
        <f t="shared" si="146"/>
        <v>0.96280862512089205</v>
      </c>
      <c r="AG104" s="655">
        <f t="shared" si="147"/>
        <v>0.99166414028232353</v>
      </c>
      <c r="AH104" s="655">
        <f t="shared" si="148"/>
        <v>1.0020839649294191</v>
      </c>
      <c r="AI104" s="655">
        <f t="shared" si="149"/>
        <v>1.012503789576515</v>
      </c>
      <c r="AJ104" s="655">
        <f t="shared" si="150"/>
        <v>1.0209461387356431</v>
      </c>
      <c r="AK104" s="655">
        <f t="shared" si="151"/>
        <v>1.0293884878947712</v>
      </c>
      <c r="AL104" s="655">
        <f t="shared" si="152"/>
        <v>1.040247972204758</v>
      </c>
      <c r="AM104" s="655">
        <f t="shared" si="153"/>
        <v>1.0511074565147449</v>
      </c>
      <c r="AO104" s="629" t="s">
        <v>1115</v>
      </c>
      <c r="AP104" s="630">
        <v>16.093663963015352</v>
      </c>
      <c r="AQ104" s="631">
        <v>15.170572232761142</v>
      </c>
      <c r="AR104" s="632">
        <v>13.495232748313567</v>
      </c>
      <c r="AS104" s="633">
        <v>12.90308185300915</v>
      </c>
      <c r="AT104" s="634">
        <v>12.410412295951149</v>
      </c>
    </row>
    <row r="105" spans="4:46" x14ac:dyDescent="0.25">
      <c r="E105" s="503"/>
      <c r="M105" s="408"/>
      <c r="N105" s="439"/>
      <c r="U105" s="413"/>
      <c r="AD105" s="654"/>
      <c r="AF105" s="655"/>
      <c r="AG105" s="655"/>
      <c r="AH105" s="655"/>
      <c r="AI105" s="655"/>
      <c r="AJ105" s="655"/>
      <c r="AK105" s="655"/>
      <c r="AL105" s="655"/>
      <c r="AM105" s="655"/>
    </row>
    <row r="106" spans="4:46" ht="13.5" thickBot="1" x14ac:dyDescent="0.3">
      <c r="E106" s="635"/>
      <c r="F106" s="636"/>
      <c r="G106" s="636"/>
      <c r="H106" s="637"/>
      <c r="I106" s="636"/>
      <c r="J106" s="636"/>
      <c r="K106" s="636"/>
      <c r="L106" s="636"/>
      <c r="M106" s="638"/>
      <c r="N106" s="639"/>
      <c r="O106" s="640"/>
      <c r="P106" s="640"/>
      <c r="Q106" s="640"/>
      <c r="R106" s="640"/>
      <c r="S106" s="640"/>
      <c r="T106" s="640"/>
      <c r="U106" s="641"/>
      <c r="AD106" s="654"/>
      <c r="AF106" s="655"/>
      <c r="AG106" s="655"/>
      <c r="AH106" s="655"/>
      <c r="AI106" s="655"/>
      <c r="AJ106" s="655"/>
      <c r="AK106" s="655"/>
      <c r="AL106" s="655"/>
      <c r="AM106" s="655"/>
    </row>
    <row r="107" spans="4:46" ht="13.5" thickTop="1" x14ac:dyDescent="0.25"/>
  </sheetData>
  <pageMargins left="0.7" right="0.7" top="0.75" bottom="0.75" header="0.3" footer="0.3"/>
  <pageSetup paperSize="9" orientation="portrait" r:id="rId1"/>
  <legacy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2B1E7E-09D7-4226-A6B3-0AB177D5D168}">
  <sheetPr>
    <tabColor theme="8" tint="0.79998168889431442"/>
  </sheetPr>
  <dimension ref="A2:BM25"/>
  <sheetViews>
    <sheetView workbookViewId="0"/>
  </sheetViews>
  <sheetFormatPr defaultColWidth="8.85546875" defaultRowHeight="15" x14ac:dyDescent="0.25"/>
  <cols>
    <col min="1" max="2" width="8.85546875" style="65"/>
    <col min="3" max="3" width="11" style="65" customWidth="1"/>
    <col min="4" max="4" width="11.42578125" style="65" customWidth="1"/>
    <col min="5" max="5" width="11.5703125" style="65" customWidth="1"/>
    <col min="6" max="6" width="8.85546875" style="65"/>
    <col min="7" max="7" width="11" style="65" bestFit="1" customWidth="1"/>
    <col min="8" max="8" width="11" style="65" customWidth="1"/>
    <col min="9" max="9" width="13.42578125" style="65" bestFit="1" customWidth="1"/>
    <col min="10" max="10" width="10" style="65" bestFit="1" customWidth="1"/>
    <col min="11" max="16384" width="8.85546875" style="65"/>
  </cols>
  <sheetData>
    <row r="2" spans="1:65" x14ac:dyDescent="0.25">
      <c r="B2" s="65" t="s">
        <v>1279</v>
      </c>
      <c r="C2" s="697">
        <v>1</v>
      </c>
      <c r="E2" s="65" t="s">
        <v>1280</v>
      </c>
    </row>
    <row r="3" spans="1:65" x14ac:dyDescent="0.25">
      <c r="B3" s="65" t="s">
        <v>1281</v>
      </c>
      <c r="C3" s="698">
        <v>16.450808333333331</v>
      </c>
    </row>
    <row r="4" spans="1:65" x14ac:dyDescent="0.25">
      <c r="A4" s="699" t="str">
        <f>'[3]AEA2012 summary'!A14</f>
        <v>Passenger Car</v>
      </c>
      <c r="B4" s="699" t="str">
        <f>'[3]AEA2012 summary'!B14</f>
        <v>BEV</v>
      </c>
      <c r="C4" s="699"/>
      <c r="G4" s="65">
        <v>1</v>
      </c>
      <c r="I4" s="65">
        <v>1.02</v>
      </c>
      <c r="J4" s="65">
        <v>1</v>
      </c>
    </row>
    <row r="5" spans="1:65" x14ac:dyDescent="0.25">
      <c r="A5" s="699" t="str">
        <f>'[3]AEA2012 summary'!A8</f>
        <v>Passenger Car</v>
      </c>
      <c r="B5" s="699" t="str">
        <f>'[3]AEA2012 summary'!B8</f>
        <v>Petrol HEV</v>
      </c>
      <c r="C5" s="699"/>
    </row>
    <row r="6" spans="1:65" x14ac:dyDescent="0.25">
      <c r="O6" s="708" t="s">
        <v>1300</v>
      </c>
      <c r="P6" s="705"/>
      <c r="Q6" s="705"/>
      <c r="R6" s="705"/>
      <c r="S6" s="705"/>
      <c r="T6" s="705"/>
      <c r="U6" s="705"/>
      <c r="V6" s="65" t="s">
        <v>1282</v>
      </c>
    </row>
    <row r="7" spans="1:65" x14ac:dyDescent="0.25">
      <c r="B7" s="93" t="s">
        <v>1283</v>
      </c>
      <c r="C7" s="74">
        <v>2020</v>
      </c>
      <c r="D7" s="74">
        <v>2022</v>
      </c>
      <c r="E7" s="74">
        <v>2030</v>
      </c>
      <c r="F7" s="74">
        <v>2050</v>
      </c>
      <c r="G7" s="74">
        <v>2020</v>
      </c>
      <c r="H7" s="74">
        <v>2024</v>
      </c>
      <c r="I7" s="74">
        <v>2025</v>
      </c>
      <c r="J7" s="74">
        <v>2030</v>
      </c>
      <c r="K7" s="74">
        <v>2035</v>
      </c>
      <c r="L7" s="74">
        <v>2040</v>
      </c>
      <c r="M7" s="74">
        <v>2045</v>
      </c>
      <c r="N7" s="74">
        <v>2050</v>
      </c>
      <c r="O7" s="706">
        <v>2020</v>
      </c>
      <c r="P7" s="706">
        <v>2025</v>
      </c>
      <c r="Q7" s="706">
        <v>2030</v>
      </c>
      <c r="R7" s="706">
        <v>2035</v>
      </c>
      <c r="S7" s="706">
        <v>2040</v>
      </c>
      <c r="T7" s="706">
        <v>2045</v>
      </c>
      <c r="U7" s="706">
        <v>2050</v>
      </c>
      <c r="V7" s="700" t="s">
        <v>1284</v>
      </c>
      <c r="W7" s="74" t="s">
        <v>1285</v>
      </c>
      <c r="X7" s="700" t="s">
        <v>1286</v>
      </c>
      <c r="Y7" s="700">
        <v>2010</v>
      </c>
      <c r="Z7" s="74">
        <v>2011</v>
      </c>
      <c r="AA7" s="700">
        <v>2012</v>
      </c>
      <c r="AB7" s="74">
        <v>2013</v>
      </c>
      <c r="AC7" s="700">
        <v>2014</v>
      </c>
      <c r="AD7" s="74">
        <v>2015</v>
      </c>
      <c r="AE7" s="700">
        <v>2016</v>
      </c>
      <c r="AF7" s="74">
        <v>2017</v>
      </c>
      <c r="AG7" s="700">
        <v>2018</v>
      </c>
      <c r="AH7" s="74">
        <v>2019</v>
      </c>
      <c r="AI7" s="700">
        <v>2020</v>
      </c>
      <c r="AJ7" s="74">
        <v>2021</v>
      </c>
      <c r="AK7" s="700">
        <v>2022</v>
      </c>
      <c r="AL7" s="74">
        <v>2023</v>
      </c>
      <c r="AM7" s="700">
        <v>2024</v>
      </c>
      <c r="AN7" s="74">
        <v>2025</v>
      </c>
      <c r="AO7" s="700">
        <v>2026</v>
      </c>
      <c r="AP7" s="74">
        <v>2027</v>
      </c>
      <c r="AQ7" s="700">
        <v>2028</v>
      </c>
      <c r="AR7" s="74">
        <v>2029</v>
      </c>
      <c r="AS7" s="700">
        <v>2030</v>
      </c>
      <c r="AT7" s="74">
        <v>2031</v>
      </c>
      <c r="AU7" s="700">
        <v>2032</v>
      </c>
      <c r="AV7" s="74">
        <v>2033</v>
      </c>
      <c r="AW7" s="700">
        <v>2034</v>
      </c>
      <c r="AX7" s="74">
        <v>2035</v>
      </c>
      <c r="AY7" s="700">
        <v>2036</v>
      </c>
      <c r="AZ7" s="74">
        <v>2037</v>
      </c>
      <c r="BA7" s="700">
        <v>2038</v>
      </c>
      <c r="BB7" s="74">
        <v>2039</v>
      </c>
      <c r="BC7" s="700">
        <v>2040</v>
      </c>
      <c r="BD7" s="74">
        <v>2041</v>
      </c>
      <c r="BE7" s="700">
        <v>2042</v>
      </c>
      <c r="BF7" s="74">
        <v>2043</v>
      </c>
      <c r="BG7" s="700">
        <v>2044</v>
      </c>
      <c r="BH7" s="74">
        <v>2045</v>
      </c>
      <c r="BI7" s="700">
        <v>2046</v>
      </c>
      <c r="BJ7" s="74">
        <v>2047</v>
      </c>
      <c r="BK7" s="700">
        <v>2048</v>
      </c>
      <c r="BL7" s="74">
        <v>2049</v>
      </c>
      <c r="BM7" s="700">
        <v>2050</v>
      </c>
    </row>
    <row r="8" spans="1:65" x14ac:dyDescent="0.25">
      <c r="B8" s="65" t="s">
        <v>1287</v>
      </c>
      <c r="C8" s="701"/>
      <c r="D8" s="701">
        <v>20500</v>
      </c>
      <c r="E8" s="701">
        <v>16600</v>
      </c>
      <c r="F8" s="701">
        <v>14700</v>
      </c>
      <c r="O8" s="705"/>
      <c r="P8" s="705"/>
      <c r="Q8" s="705"/>
      <c r="R8" s="705"/>
      <c r="S8" s="705"/>
      <c r="T8" s="705"/>
      <c r="U8" s="705"/>
    </row>
    <row r="9" spans="1:65" x14ac:dyDescent="0.25">
      <c r="B9" s="65" t="s">
        <v>1288</v>
      </c>
      <c r="C9" s="701"/>
      <c r="D9" s="701">
        <v>20500</v>
      </c>
      <c r="E9" s="701">
        <v>16100</v>
      </c>
      <c r="F9" s="701">
        <v>14100</v>
      </c>
      <c r="O9" s="705"/>
      <c r="P9" s="705"/>
      <c r="Q9" s="705"/>
      <c r="R9" s="705"/>
      <c r="S9" s="705"/>
      <c r="T9" s="705"/>
      <c r="U9" s="705"/>
    </row>
    <row r="10" spans="1:65" x14ac:dyDescent="0.25">
      <c r="B10" s="65" t="s">
        <v>1289</v>
      </c>
      <c r="C10" s="701"/>
      <c r="D10" s="701">
        <v>20500</v>
      </c>
      <c r="E10" s="701">
        <v>15600</v>
      </c>
      <c r="F10" s="701">
        <v>13700</v>
      </c>
      <c r="O10" s="705"/>
      <c r="P10" s="705"/>
      <c r="Q10" s="705"/>
      <c r="R10" s="705"/>
      <c r="S10" s="705"/>
      <c r="T10" s="705"/>
      <c r="U10" s="705"/>
    </row>
    <row r="11" spans="1:65" x14ac:dyDescent="0.25">
      <c r="A11" s="65" t="s">
        <v>1117</v>
      </c>
      <c r="B11" s="65" t="s">
        <v>1276</v>
      </c>
      <c r="C11" s="702">
        <f>_xlfn.FORECAST.LINEAR(G$7,D$11:E$11,$D$7:$E$7)</f>
        <v>1.0475609756097555</v>
      </c>
      <c r="D11" s="703">
        <f t="shared" ref="D11:F13" si="0">D8/$D8</f>
        <v>1</v>
      </c>
      <c r="E11" s="703">
        <f t="shared" si="0"/>
        <v>0.80975609756097566</v>
      </c>
      <c r="F11" s="703">
        <f t="shared" si="0"/>
        <v>0.71707317073170729</v>
      </c>
      <c r="G11" s="704">
        <f t="shared" ref="G11:N11" si="1">INDEX($Y11:$BM11,1,MATCH(G$7,$Y$7:$BM$7,0))/$C11</f>
        <v>1</v>
      </c>
      <c r="H11" s="704">
        <f t="shared" si="1"/>
        <v>0.90919674039581022</v>
      </c>
      <c r="I11" s="704">
        <f t="shared" si="1"/>
        <v>0.88649592549476275</v>
      </c>
      <c r="J11" s="704">
        <f t="shared" si="1"/>
        <v>0.7729918509895255</v>
      </c>
      <c r="K11" s="704">
        <f t="shared" si="1"/>
        <v>0.75087310826542586</v>
      </c>
      <c r="L11" s="704">
        <f t="shared" si="1"/>
        <v>0.72875436554132778</v>
      </c>
      <c r="M11" s="704">
        <f t="shared" si="1"/>
        <v>0.7066356228172298</v>
      </c>
      <c r="N11" s="704">
        <f t="shared" si="1"/>
        <v>0.68451688009313172</v>
      </c>
      <c r="O11" s="707">
        <f>G11/$H11</f>
        <v>1.0998719590268873</v>
      </c>
      <c r="P11" s="707">
        <f t="shared" ref="P11:U12" si="2">H11/$H11</f>
        <v>1</v>
      </c>
      <c r="Q11" s="707">
        <f t="shared" si="2"/>
        <v>0.97503201024327812</v>
      </c>
      <c r="R11" s="707">
        <f t="shared" si="2"/>
        <v>0.85019206145966908</v>
      </c>
      <c r="S11" s="707">
        <f t="shared" si="2"/>
        <v>0.82586427656850192</v>
      </c>
      <c r="T11" s="707">
        <f t="shared" si="2"/>
        <v>0.80153649167733643</v>
      </c>
      <c r="U11" s="707">
        <f t="shared" si="2"/>
        <v>0.77720870678617116</v>
      </c>
      <c r="V11" s="92" t="e">
        <f>(D11-#REF!)/(D$7-#REF!)</f>
        <v>#REF!</v>
      </c>
      <c r="W11" s="92">
        <f t="shared" ref="W11:X13" si="3">(E11-D11)/(E$7-D$7)</f>
        <v>-2.3780487804878042E-2</v>
      </c>
      <c r="X11" s="92">
        <f t="shared" si="3"/>
        <v>-4.6341463414634188E-3</v>
      </c>
      <c r="Y11" s="92">
        <f t="shared" ref="Y11:AK13" si="4">_xlfn.FORECAST.LINEAR(Y$7,$C11:$D11,$C$7:$D$7)</f>
        <v>1.2853658536585328</v>
      </c>
      <c r="Z11" s="92">
        <f t="shared" si="4"/>
        <v>1.2615853658536551</v>
      </c>
      <c r="AA11" s="92">
        <f t="shared" si="4"/>
        <v>1.2378048780487774</v>
      </c>
      <c r="AB11" s="92">
        <f t="shared" si="4"/>
        <v>1.2140243902438996</v>
      </c>
      <c r="AC11" s="92">
        <f t="shared" si="4"/>
        <v>1.1902439024390219</v>
      </c>
      <c r="AD11" s="92">
        <f t="shared" si="4"/>
        <v>1.1664634146341442</v>
      </c>
      <c r="AE11" s="92">
        <f t="shared" si="4"/>
        <v>1.1426829268292664</v>
      </c>
      <c r="AF11" s="92">
        <f t="shared" si="4"/>
        <v>1.1189024390243887</v>
      </c>
      <c r="AG11" s="92">
        <f t="shared" si="4"/>
        <v>1.0951219512195109</v>
      </c>
      <c r="AH11" s="92">
        <f t="shared" si="4"/>
        <v>1.0713414634146332</v>
      </c>
      <c r="AI11" s="92">
        <f t="shared" si="4"/>
        <v>1.0475609756097555</v>
      </c>
      <c r="AJ11" s="92">
        <f t="shared" si="4"/>
        <v>1.0237804878048777</v>
      </c>
      <c r="AK11" s="92">
        <f t="shared" si="4"/>
        <v>1</v>
      </c>
      <c r="AL11" s="92">
        <f t="shared" ref="AL11:AS13" si="5">_xlfn.FORECAST.LINEAR(AL$7,$D11:$E11,$D$7:$E$7)</f>
        <v>0.97621951219512226</v>
      </c>
      <c r="AM11" s="92">
        <f t="shared" si="5"/>
        <v>0.95243902439024453</v>
      </c>
      <c r="AN11" s="92">
        <f t="shared" si="5"/>
        <v>0.92865853658536679</v>
      </c>
      <c r="AO11" s="92">
        <f t="shared" si="5"/>
        <v>0.90487804878048905</v>
      </c>
      <c r="AP11" s="92">
        <f t="shared" si="5"/>
        <v>0.88109756097561132</v>
      </c>
      <c r="AQ11" s="92">
        <f t="shared" si="5"/>
        <v>0.85731707317073358</v>
      </c>
      <c r="AR11" s="92">
        <f t="shared" si="5"/>
        <v>0.83353658536585584</v>
      </c>
      <c r="AS11" s="92">
        <f t="shared" si="5"/>
        <v>0.80975609756097811</v>
      </c>
      <c r="AT11" s="92">
        <f t="shared" ref="AT11:BI13" si="6">_xlfn.FORECAST.LINEAR(AT$7,$E11:$F11,$E$7:$F$7)</f>
        <v>0.8051219512195118</v>
      </c>
      <c r="AU11" s="92">
        <f t="shared" si="6"/>
        <v>0.80048780487804905</v>
      </c>
      <c r="AV11" s="92">
        <f t="shared" si="6"/>
        <v>0.79585365853658629</v>
      </c>
      <c r="AW11" s="92">
        <f t="shared" si="6"/>
        <v>0.79121951219512177</v>
      </c>
      <c r="AX11" s="92">
        <f t="shared" si="6"/>
        <v>0.78658536585365901</v>
      </c>
      <c r="AY11" s="92">
        <f t="shared" si="6"/>
        <v>0.78195121951219448</v>
      </c>
      <c r="AZ11" s="92">
        <f t="shared" si="6"/>
        <v>0.77731707317073173</v>
      </c>
      <c r="BA11" s="92">
        <f t="shared" si="6"/>
        <v>0.77268292682926898</v>
      </c>
      <c r="BB11" s="92">
        <f t="shared" si="6"/>
        <v>0.76804878048780445</v>
      </c>
      <c r="BC11" s="92">
        <f t="shared" si="6"/>
        <v>0.7634146341463417</v>
      </c>
      <c r="BD11" s="92">
        <f t="shared" si="6"/>
        <v>0.75878048780487894</v>
      </c>
      <c r="BE11" s="92">
        <f t="shared" si="6"/>
        <v>0.75414634146341442</v>
      </c>
      <c r="BF11" s="92">
        <f t="shared" si="6"/>
        <v>0.74951219512195166</v>
      </c>
      <c r="BG11" s="92">
        <f t="shared" si="6"/>
        <v>0.74487804878048891</v>
      </c>
      <c r="BH11" s="92">
        <f t="shared" si="6"/>
        <v>0.74024390243902438</v>
      </c>
      <c r="BI11" s="92">
        <f t="shared" si="6"/>
        <v>0.73560975609756163</v>
      </c>
      <c r="BJ11" s="92">
        <f t="shared" ref="BD11:BM13" si="7">_xlfn.FORECAST.LINEAR(BJ$7,$E11:$F11,$E$7:$F$7)</f>
        <v>0.7309756097560971</v>
      </c>
      <c r="BK11" s="92">
        <f t="shared" si="7"/>
        <v>0.72634146341463435</v>
      </c>
      <c r="BL11" s="92">
        <f t="shared" si="7"/>
        <v>0.72170731707317159</v>
      </c>
      <c r="BM11" s="92">
        <f t="shared" si="7"/>
        <v>0.71707317073170707</v>
      </c>
    </row>
    <row r="12" spans="1:65" x14ac:dyDescent="0.25">
      <c r="A12" s="65" t="s">
        <v>1117</v>
      </c>
      <c r="B12" s="65" t="s">
        <v>1277</v>
      </c>
      <c r="C12" s="702">
        <f>_xlfn.FORECAST.LINEAR(G$7,D$11:E$11,$D$7:$E$7)</f>
        <v>1.0475609756097555</v>
      </c>
      <c r="D12" s="703">
        <f t="shared" si="0"/>
        <v>1</v>
      </c>
      <c r="E12" s="703">
        <f t="shared" si="0"/>
        <v>0.78536585365853662</v>
      </c>
      <c r="F12" s="703">
        <f t="shared" si="0"/>
        <v>0.68780487804878043</v>
      </c>
      <c r="G12" s="704">
        <f t="shared" ref="G12:G13" si="8">INDEX($Y12:$BM12,1,MATCH(G$7,$Y$7:$BM$7,0))/$C12</f>
        <v>1</v>
      </c>
      <c r="H12" s="704">
        <f t="shared" ref="H12:N13" si="9">INDEX($Y12:$BM12,1,MATCH(H$7,$Y$7:$BM$7,0))/$C12</f>
        <v>0.90337601862630257</v>
      </c>
      <c r="I12" s="704">
        <f t="shared" si="9"/>
        <v>0.87776484284050804</v>
      </c>
      <c r="J12" s="704">
        <f t="shared" si="9"/>
        <v>0.74970896391152186</v>
      </c>
      <c r="K12" s="704">
        <f t="shared" si="9"/>
        <v>0.72642607683352678</v>
      </c>
      <c r="L12" s="704">
        <f t="shared" si="9"/>
        <v>0.70314318975552992</v>
      </c>
      <c r="M12" s="704">
        <f t="shared" si="9"/>
        <v>0.67986030267753306</v>
      </c>
      <c r="N12" s="704">
        <f t="shared" si="9"/>
        <v>0.65657741559953442</v>
      </c>
      <c r="O12" s="707">
        <f>G12/$H12</f>
        <v>1.1069587628866067</v>
      </c>
      <c r="P12" s="707">
        <f t="shared" si="2"/>
        <v>1</v>
      </c>
      <c r="Q12" s="707">
        <f t="shared" si="2"/>
        <v>0.97164948453608546</v>
      </c>
      <c r="R12" s="707">
        <f t="shared" si="2"/>
        <v>0.82989690721649789</v>
      </c>
      <c r="S12" s="707">
        <f t="shared" si="2"/>
        <v>0.80412371134021188</v>
      </c>
      <c r="T12" s="707">
        <f t="shared" si="2"/>
        <v>0.77835051546392386</v>
      </c>
      <c r="U12" s="707">
        <f t="shared" si="2"/>
        <v>0.75257731958763596</v>
      </c>
      <c r="V12" s="92" t="e">
        <f>(D12-#REF!)/(D$7-#REF!)</f>
        <v>#REF!</v>
      </c>
      <c r="W12" s="92">
        <f t="shared" si="3"/>
        <v>-2.6829268292682923E-2</v>
      </c>
      <c r="X12" s="92">
        <f t="shared" si="3"/>
        <v>-4.8780487804878092E-3</v>
      </c>
      <c r="Y12" s="92">
        <f t="shared" si="4"/>
        <v>1.2853658536585328</v>
      </c>
      <c r="Z12" s="92">
        <f t="shared" si="4"/>
        <v>1.2615853658536551</v>
      </c>
      <c r="AA12" s="92">
        <f t="shared" si="4"/>
        <v>1.2378048780487774</v>
      </c>
      <c r="AB12" s="92">
        <f t="shared" si="4"/>
        <v>1.2140243902438996</v>
      </c>
      <c r="AC12" s="92">
        <f t="shared" si="4"/>
        <v>1.1902439024390219</v>
      </c>
      <c r="AD12" s="92">
        <f t="shared" si="4"/>
        <v>1.1664634146341442</v>
      </c>
      <c r="AE12" s="92">
        <f t="shared" si="4"/>
        <v>1.1426829268292664</v>
      </c>
      <c r="AF12" s="92">
        <f t="shared" si="4"/>
        <v>1.1189024390243887</v>
      </c>
      <c r="AG12" s="92">
        <f t="shared" si="4"/>
        <v>1.0951219512195109</v>
      </c>
      <c r="AH12" s="92">
        <f t="shared" si="4"/>
        <v>1.0713414634146332</v>
      </c>
      <c r="AI12" s="92">
        <f t="shared" si="4"/>
        <v>1.0475609756097555</v>
      </c>
      <c r="AJ12" s="92">
        <f t="shared" si="4"/>
        <v>1.0237804878048777</v>
      </c>
      <c r="AK12" s="92">
        <f t="shared" si="4"/>
        <v>1</v>
      </c>
      <c r="AL12" s="92">
        <f t="shared" si="5"/>
        <v>0.97317073170731305</v>
      </c>
      <c r="AM12" s="92">
        <f t="shared" si="5"/>
        <v>0.94634146341462611</v>
      </c>
      <c r="AN12" s="92">
        <f t="shared" si="5"/>
        <v>0.91951219512194626</v>
      </c>
      <c r="AO12" s="92">
        <f t="shared" si="5"/>
        <v>0.89268292682926642</v>
      </c>
      <c r="AP12" s="92">
        <f t="shared" si="5"/>
        <v>0.86585365853657947</v>
      </c>
      <c r="AQ12" s="92">
        <f t="shared" si="5"/>
        <v>0.83902439024389963</v>
      </c>
      <c r="AR12" s="92">
        <f t="shared" si="5"/>
        <v>0.81219512195121268</v>
      </c>
      <c r="AS12" s="92">
        <f t="shared" si="5"/>
        <v>0.78536585365853284</v>
      </c>
      <c r="AT12" s="92">
        <f t="shared" si="6"/>
        <v>0.7804878048780477</v>
      </c>
      <c r="AU12" s="92">
        <f t="shared" si="6"/>
        <v>0.77560975609756078</v>
      </c>
      <c r="AV12" s="92">
        <f t="shared" si="6"/>
        <v>0.77073170731707386</v>
      </c>
      <c r="AW12" s="92">
        <f t="shared" si="6"/>
        <v>0.76585365853658516</v>
      </c>
      <c r="AX12" s="92">
        <f t="shared" si="6"/>
        <v>0.76097560975609646</v>
      </c>
      <c r="AY12" s="92">
        <f t="shared" si="6"/>
        <v>0.75609756097560954</v>
      </c>
      <c r="AZ12" s="92">
        <f t="shared" si="6"/>
        <v>0.75121951219512262</v>
      </c>
      <c r="BA12" s="92">
        <f t="shared" si="6"/>
        <v>0.74634146341463392</v>
      </c>
      <c r="BB12" s="92">
        <f t="shared" si="6"/>
        <v>0.74146341463414522</v>
      </c>
      <c r="BC12" s="92">
        <f t="shared" si="6"/>
        <v>0.7365853658536583</v>
      </c>
      <c r="BD12" s="92">
        <f t="shared" si="7"/>
        <v>0.73170731707317138</v>
      </c>
      <c r="BE12" s="92">
        <f t="shared" si="7"/>
        <v>0.72682926829268268</v>
      </c>
      <c r="BF12" s="92">
        <f t="shared" si="7"/>
        <v>0.72195121951219399</v>
      </c>
      <c r="BG12" s="92">
        <f t="shared" si="7"/>
        <v>0.71707317073170707</v>
      </c>
      <c r="BH12" s="92">
        <f t="shared" si="7"/>
        <v>0.71219512195122014</v>
      </c>
      <c r="BI12" s="92">
        <f t="shared" si="7"/>
        <v>0.70731707317073145</v>
      </c>
      <c r="BJ12" s="92">
        <f t="shared" si="7"/>
        <v>0.70243902439024275</v>
      </c>
      <c r="BK12" s="92">
        <f t="shared" si="7"/>
        <v>0.69756097560975583</v>
      </c>
      <c r="BL12" s="92">
        <f t="shared" si="7"/>
        <v>0.69268292682926891</v>
      </c>
      <c r="BM12" s="92">
        <f t="shared" si="7"/>
        <v>0.68780487804878021</v>
      </c>
    </row>
    <row r="13" spans="1:65" x14ac:dyDescent="0.25">
      <c r="A13" s="65" t="s">
        <v>1117</v>
      </c>
      <c r="B13" s="65" t="s">
        <v>1278</v>
      </c>
      <c r="C13" s="702">
        <f>_xlfn.FORECAST.LINEAR(G$7,D$11:E$11,$D$7:$E$7)</f>
        <v>1.0475609756097555</v>
      </c>
      <c r="D13" s="703">
        <f t="shared" si="0"/>
        <v>1</v>
      </c>
      <c r="E13" s="703">
        <f t="shared" si="0"/>
        <v>0.76097560975609757</v>
      </c>
      <c r="F13" s="703">
        <f t="shared" si="0"/>
        <v>0.66829268292682931</v>
      </c>
      <c r="G13" s="704">
        <f t="shared" si="8"/>
        <v>1</v>
      </c>
      <c r="H13" s="704">
        <f t="shared" si="9"/>
        <v>0.89755529685681523</v>
      </c>
      <c r="I13" s="704">
        <f t="shared" si="9"/>
        <v>0.86903376018626677</v>
      </c>
      <c r="J13" s="704">
        <f t="shared" si="9"/>
        <v>0.72642607683353178</v>
      </c>
      <c r="K13" s="704">
        <f t="shared" si="9"/>
        <v>0.70430733410943036</v>
      </c>
      <c r="L13" s="704">
        <f t="shared" si="9"/>
        <v>0.68218859138533239</v>
      </c>
      <c r="M13" s="704">
        <f t="shared" si="9"/>
        <v>0.6600698486612343</v>
      </c>
      <c r="N13" s="704">
        <f t="shared" si="9"/>
        <v>0.63795110593713633</v>
      </c>
      <c r="O13" s="707">
        <f>G13/$H13</f>
        <v>1.1141374837872831</v>
      </c>
      <c r="P13" s="707">
        <f t="shared" ref="P13" si="10">H13/$H13</f>
        <v>1</v>
      </c>
      <c r="Q13" s="707">
        <f t="shared" ref="Q13" si="11">I13/$H13</f>
        <v>0.96822308690012837</v>
      </c>
      <c r="R13" s="707">
        <f t="shared" ref="R13" si="12">J13/$H13</f>
        <v>0.80933852140077867</v>
      </c>
      <c r="S13" s="707">
        <f t="shared" ref="S13" si="13">K13/$H13</f>
        <v>0.78469520103761004</v>
      </c>
      <c r="T13" s="707">
        <f t="shared" ref="T13" si="14">L13/$H13</f>
        <v>0.76005188067444518</v>
      </c>
      <c r="U13" s="707">
        <f t="shared" ref="U13" si="15">M13/$H13</f>
        <v>0.73540856031128032</v>
      </c>
      <c r="V13" s="92" t="e">
        <f>(D13-#REF!)/(D$7-#REF!)</f>
        <v>#REF!</v>
      </c>
      <c r="W13" s="92">
        <f t="shared" si="3"/>
        <v>-2.9878048780487804E-2</v>
      </c>
      <c r="X13" s="92">
        <f t="shared" si="3"/>
        <v>-4.6341463414634135E-3</v>
      </c>
      <c r="Y13" s="92">
        <f t="shared" si="4"/>
        <v>1.2853658536585328</v>
      </c>
      <c r="Z13" s="92">
        <f t="shared" si="4"/>
        <v>1.2615853658536551</v>
      </c>
      <c r="AA13" s="92">
        <f t="shared" si="4"/>
        <v>1.2378048780487774</v>
      </c>
      <c r="AB13" s="92">
        <f t="shared" si="4"/>
        <v>1.2140243902438996</v>
      </c>
      <c r="AC13" s="92">
        <f t="shared" si="4"/>
        <v>1.1902439024390219</v>
      </c>
      <c r="AD13" s="92">
        <f t="shared" si="4"/>
        <v>1.1664634146341442</v>
      </c>
      <c r="AE13" s="92">
        <f t="shared" si="4"/>
        <v>1.1426829268292664</v>
      </c>
      <c r="AF13" s="92">
        <f t="shared" si="4"/>
        <v>1.1189024390243887</v>
      </c>
      <c r="AG13" s="92">
        <f t="shared" si="4"/>
        <v>1.0951219512195109</v>
      </c>
      <c r="AH13" s="92">
        <f t="shared" si="4"/>
        <v>1.0713414634146332</v>
      </c>
      <c r="AI13" s="92">
        <f t="shared" si="4"/>
        <v>1.0475609756097555</v>
      </c>
      <c r="AJ13" s="92">
        <f t="shared" si="4"/>
        <v>1.0237804878048777</v>
      </c>
      <c r="AK13" s="92">
        <f t="shared" si="4"/>
        <v>1</v>
      </c>
      <c r="AL13" s="92">
        <f t="shared" si="5"/>
        <v>0.97012195121951805</v>
      </c>
      <c r="AM13" s="92">
        <f t="shared" si="5"/>
        <v>0.940243902439029</v>
      </c>
      <c r="AN13" s="92">
        <f t="shared" si="5"/>
        <v>0.91036585365853995</v>
      </c>
      <c r="AO13" s="92">
        <f t="shared" si="5"/>
        <v>0.88048780487805089</v>
      </c>
      <c r="AP13" s="92">
        <f t="shared" si="5"/>
        <v>0.85060975609756184</v>
      </c>
      <c r="AQ13" s="92">
        <f t="shared" si="5"/>
        <v>0.82073170731707279</v>
      </c>
      <c r="AR13" s="92">
        <f t="shared" si="5"/>
        <v>0.79085365853659084</v>
      </c>
      <c r="AS13" s="92">
        <f t="shared" si="5"/>
        <v>0.76097560975610179</v>
      </c>
      <c r="AT13" s="92">
        <f t="shared" si="6"/>
        <v>0.75634146341463371</v>
      </c>
      <c r="AU13" s="92">
        <f t="shared" si="6"/>
        <v>0.75170731707317096</v>
      </c>
      <c r="AV13" s="92">
        <f t="shared" si="6"/>
        <v>0.7470731707317082</v>
      </c>
      <c r="AW13" s="92">
        <f t="shared" si="6"/>
        <v>0.74243902439024367</v>
      </c>
      <c r="AX13" s="92">
        <f t="shared" si="6"/>
        <v>0.73780487804878092</v>
      </c>
      <c r="AY13" s="92">
        <f t="shared" si="6"/>
        <v>0.73317073170731639</v>
      </c>
      <c r="AZ13" s="92">
        <f t="shared" si="6"/>
        <v>0.72853658536585364</v>
      </c>
      <c r="BA13" s="92">
        <f t="shared" si="6"/>
        <v>0.72390243902439089</v>
      </c>
      <c r="BB13" s="92">
        <f t="shared" si="6"/>
        <v>0.71926829268292636</v>
      </c>
      <c r="BC13" s="92">
        <f t="shared" si="6"/>
        <v>0.71463414634146361</v>
      </c>
      <c r="BD13" s="92">
        <f t="shared" si="7"/>
        <v>0.71000000000000085</v>
      </c>
      <c r="BE13" s="92">
        <f t="shared" si="7"/>
        <v>0.70536585365853632</v>
      </c>
      <c r="BF13" s="92">
        <f t="shared" si="7"/>
        <v>0.70073170731707357</v>
      </c>
      <c r="BG13" s="92">
        <f t="shared" si="7"/>
        <v>0.69609756097560904</v>
      </c>
      <c r="BH13" s="92">
        <f t="shared" si="7"/>
        <v>0.69146341463414629</v>
      </c>
      <c r="BI13" s="92">
        <f t="shared" si="7"/>
        <v>0.68682926829268354</v>
      </c>
      <c r="BJ13" s="92">
        <f t="shared" si="7"/>
        <v>0.68219512195121901</v>
      </c>
      <c r="BK13" s="92">
        <f t="shared" si="7"/>
        <v>0.67756097560975626</v>
      </c>
      <c r="BL13" s="92">
        <f t="shared" si="7"/>
        <v>0.6729268292682935</v>
      </c>
      <c r="BM13" s="92">
        <f t="shared" si="7"/>
        <v>0.66829268292682897</v>
      </c>
    </row>
    <row r="14" spans="1:65" x14ac:dyDescent="0.25">
      <c r="B14" s="65" t="s">
        <v>1287</v>
      </c>
      <c r="C14" s="701"/>
      <c r="D14" s="701">
        <v>16800</v>
      </c>
      <c r="E14" s="701">
        <v>15300</v>
      </c>
      <c r="F14" s="701">
        <v>15400</v>
      </c>
      <c r="G14" s="112"/>
      <c r="H14" s="112"/>
      <c r="I14" s="112"/>
      <c r="J14" s="112"/>
      <c r="K14" s="112"/>
      <c r="L14" s="112"/>
      <c r="M14" s="112"/>
      <c r="N14" s="112"/>
      <c r="O14" s="707"/>
      <c r="P14" s="707"/>
      <c r="Q14" s="707"/>
      <c r="R14" s="707"/>
      <c r="S14" s="707"/>
      <c r="T14" s="707"/>
      <c r="U14" s="707"/>
    </row>
    <row r="15" spans="1:65" x14ac:dyDescent="0.25">
      <c r="B15" s="65" t="s">
        <v>1288</v>
      </c>
      <c r="C15" s="701"/>
      <c r="D15" s="701">
        <v>16800</v>
      </c>
      <c r="E15" s="701">
        <v>15200</v>
      </c>
      <c r="F15" s="701">
        <v>15300</v>
      </c>
      <c r="G15" s="112"/>
      <c r="H15" s="112"/>
      <c r="I15" s="112"/>
      <c r="J15" s="112"/>
      <c r="K15" s="112"/>
      <c r="L15" s="112"/>
      <c r="M15" s="112"/>
      <c r="N15" s="112"/>
      <c r="O15" s="707"/>
      <c r="P15" s="707"/>
      <c r="Q15" s="707"/>
      <c r="R15" s="707"/>
      <c r="S15" s="707"/>
      <c r="T15" s="707"/>
      <c r="U15" s="707"/>
    </row>
    <row r="16" spans="1:65" x14ac:dyDescent="0.25">
      <c r="B16" s="65" t="s">
        <v>1289</v>
      </c>
      <c r="C16" s="701"/>
      <c r="D16" s="701">
        <v>16800</v>
      </c>
      <c r="E16" s="701">
        <v>15100</v>
      </c>
      <c r="F16" s="701">
        <v>15200</v>
      </c>
      <c r="G16" s="112"/>
      <c r="H16" s="112"/>
      <c r="I16" s="112"/>
      <c r="J16" s="112"/>
      <c r="K16" s="112"/>
      <c r="L16" s="112"/>
      <c r="M16" s="112"/>
      <c r="N16" s="112"/>
      <c r="O16" s="707"/>
      <c r="P16" s="707"/>
      <c r="Q16" s="707"/>
      <c r="R16" s="707"/>
      <c r="S16" s="707"/>
      <c r="T16" s="707"/>
      <c r="U16" s="707"/>
    </row>
    <row r="17" spans="1:65" x14ac:dyDescent="0.25">
      <c r="A17" s="65" t="s">
        <v>1219</v>
      </c>
      <c r="B17" s="65" t="s">
        <v>1276</v>
      </c>
      <c r="C17" s="702">
        <f>_xlfn.FORECAST.LINEAR(G$7,D$11:E$11,$D$7:$E$7)</f>
        <v>1.0475609756097555</v>
      </c>
      <c r="D17" s="703">
        <f t="shared" ref="D17:F19" si="16">D14/$D14</f>
        <v>1</v>
      </c>
      <c r="E17" s="703">
        <f t="shared" si="16"/>
        <v>0.9107142857142857</v>
      </c>
      <c r="F17" s="703">
        <f t="shared" si="16"/>
        <v>0.91666666666666663</v>
      </c>
      <c r="G17" s="704">
        <f t="shared" ref="G17:N17" si="17">INDEX($Y17:$BM17,1,MATCH(G$7,$Y$7:$BM$7,0))/$C17</f>
        <v>1</v>
      </c>
      <c r="H17" s="704">
        <f t="shared" si="17"/>
        <v>0.93329037086312849</v>
      </c>
      <c r="I17" s="704">
        <f t="shared" si="17"/>
        <v>0.92263637119574016</v>
      </c>
      <c r="J17" s="704">
        <f t="shared" si="17"/>
        <v>0.86936637285880547</v>
      </c>
      <c r="K17" s="704">
        <f t="shared" si="17"/>
        <v>0.87078690614779142</v>
      </c>
      <c r="L17" s="704">
        <f t="shared" si="17"/>
        <v>0.87220743943677637</v>
      </c>
      <c r="M17" s="704">
        <f t="shared" si="17"/>
        <v>0.87362797272576131</v>
      </c>
      <c r="N17" s="704">
        <f t="shared" si="17"/>
        <v>0.87504850601474626</v>
      </c>
      <c r="O17" s="707">
        <f>G17/$H17</f>
        <v>1.0714778928611219</v>
      </c>
      <c r="P17" s="707">
        <f t="shared" ref="P17:P19" si="18">H17/$H17</f>
        <v>1</v>
      </c>
      <c r="Q17" s="707">
        <f t="shared" ref="Q17:Q19" si="19">I17/$H17</f>
        <v>0.98858447488584367</v>
      </c>
      <c r="R17" s="707">
        <f t="shared" ref="R17:R19" si="20">J17/$H17</f>
        <v>0.93150684931506944</v>
      </c>
      <c r="S17" s="707">
        <f t="shared" ref="S17:S19" si="21">K17/$H17</f>
        <v>0.9330289193302912</v>
      </c>
      <c r="T17" s="707">
        <f t="shared" ref="T17:T19" si="22">L17/$H17</f>
        <v>0.93455098934551184</v>
      </c>
      <c r="U17" s="707">
        <f t="shared" ref="U17:U19" si="23">M17/$H17</f>
        <v>0.93607305936073248</v>
      </c>
      <c r="V17" s="92" t="e">
        <f>(D17-#REF!)/(D$7-#REF!)</f>
        <v>#REF!</v>
      </c>
      <c r="W17" s="92">
        <f t="shared" ref="W17:X19" si="24">(E17-D17)/(E$7-D$7)</f>
        <v>-1.1160714285714288E-2</v>
      </c>
      <c r="X17" s="92">
        <f t="shared" si="24"/>
        <v>2.9761904761904656E-4</v>
      </c>
      <c r="Y17" s="92">
        <f t="shared" ref="Y17:AK19" si="25">_xlfn.FORECAST.LINEAR(Y$7,$C17:$D17,$C$7:$D$7)</f>
        <v>1.2853658536585328</v>
      </c>
      <c r="Z17" s="92">
        <f t="shared" si="25"/>
        <v>1.2615853658536551</v>
      </c>
      <c r="AA17" s="92">
        <f t="shared" si="25"/>
        <v>1.2378048780487774</v>
      </c>
      <c r="AB17" s="92">
        <f t="shared" si="25"/>
        <v>1.2140243902438996</v>
      </c>
      <c r="AC17" s="92">
        <f t="shared" si="25"/>
        <v>1.1902439024390219</v>
      </c>
      <c r="AD17" s="92">
        <f t="shared" si="25"/>
        <v>1.1664634146341442</v>
      </c>
      <c r="AE17" s="92">
        <f t="shared" si="25"/>
        <v>1.1426829268292664</v>
      </c>
      <c r="AF17" s="92">
        <f t="shared" si="25"/>
        <v>1.1189024390243887</v>
      </c>
      <c r="AG17" s="92">
        <f t="shared" si="25"/>
        <v>1.0951219512195109</v>
      </c>
      <c r="AH17" s="92">
        <f t="shared" si="25"/>
        <v>1.0713414634146332</v>
      </c>
      <c r="AI17" s="92">
        <f t="shared" si="25"/>
        <v>1.0475609756097555</v>
      </c>
      <c r="AJ17" s="92">
        <f t="shared" si="25"/>
        <v>1.0237804878048777</v>
      </c>
      <c r="AK17" s="92">
        <f t="shared" si="25"/>
        <v>1</v>
      </c>
      <c r="AL17" s="92">
        <f t="shared" ref="AL17:AS19" si="26">_xlfn.FORECAST.LINEAR(AL$7,$D17:$E17,$D$7:$E$7)</f>
        <v>0.9888392857142847</v>
      </c>
      <c r="AM17" s="92">
        <f t="shared" si="26"/>
        <v>0.9776785714285694</v>
      </c>
      <c r="AN17" s="92">
        <f t="shared" si="26"/>
        <v>0.9665178571428541</v>
      </c>
      <c r="AO17" s="92">
        <f t="shared" si="26"/>
        <v>0.95535714285714235</v>
      </c>
      <c r="AP17" s="92">
        <f t="shared" si="26"/>
        <v>0.94419642857142705</v>
      </c>
      <c r="AQ17" s="92">
        <f t="shared" si="26"/>
        <v>0.93303571428571175</v>
      </c>
      <c r="AR17" s="92">
        <f t="shared" si="26"/>
        <v>0.921875</v>
      </c>
      <c r="AS17" s="92">
        <f t="shared" si="26"/>
        <v>0.9107142857142847</v>
      </c>
      <c r="AT17" s="92">
        <f t="shared" ref="AT17:BI19" si="27">_xlfn.FORECAST.LINEAR(AT$7,$E17:$F17,$E$7:$F$7)</f>
        <v>0.91101190476190474</v>
      </c>
      <c r="AU17" s="92">
        <f t="shared" si="27"/>
        <v>0.91130952380952379</v>
      </c>
      <c r="AV17" s="92">
        <f t="shared" si="27"/>
        <v>0.91160714285714284</v>
      </c>
      <c r="AW17" s="92">
        <f t="shared" si="27"/>
        <v>0.91190476190476188</v>
      </c>
      <c r="AX17" s="92">
        <f t="shared" si="27"/>
        <v>0.91220238095238093</v>
      </c>
      <c r="AY17" s="92">
        <f t="shared" si="27"/>
        <v>0.91249999999999998</v>
      </c>
      <c r="AZ17" s="92">
        <f t="shared" si="27"/>
        <v>0.91279761904761902</v>
      </c>
      <c r="BA17" s="92">
        <f t="shared" si="27"/>
        <v>0.91309523809523807</v>
      </c>
      <c r="BB17" s="92">
        <f t="shared" si="27"/>
        <v>0.91339285714285712</v>
      </c>
      <c r="BC17" s="92">
        <f t="shared" si="27"/>
        <v>0.91369047619047616</v>
      </c>
      <c r="BD17" s="92">
        <f t="shared" si="27"/>
        <v>0.91398809523809521</v>
      </c>
      <c r="BE17" s="92">
        <f t="shared" si="27"/>
        <v>0.91428571428571426</v>
      </c>
      <c r="BF17" s="92">
        <f t="shared" si="27"/>
        <v>0.9145833333333333</v>
      </c>
      <c r="BG17" s="92">
        <f t="shared" si="27"/>
        <v>0.91488095238095235</v>
      </c>
      <c r="BH17" s="92">
        <f t="shared" si="27"/>
        <v>0.9151785714285714</v>
      </c>
      <c r="BI17" s="92">
        <f t="shared" si="27"/>
        <v>0.91547619047619044</v>
      </c>
      <c r="BJ17" s="92">
        <f t="shared" ref="BD17:BM19" si="28">_xlfn.FORECAST.LINEAR(BJ$7,$E17:$F17,$E$7:$F$7)</f>
        <v>0.91577380952380949</v>
      </c>
      <c r="BK17" s="92">
        <f t="shared" si="28"/>
        <v>0.91607142857142854</v>
      </c>
      <c r="BL17" s="92">
        <f t="shared" si="28"/>
        <v>0.91636904761904758</v>
      </c>
      <c r="BM17" s="92">
        <f t="shared" si="28"/>
        <v>0.91666666666666663</v>
      </c>
    </row>
    <row r="18" spans="1:65" x14ac:dyDescent="0.25">
      <c r="A18" s="65" t="s">
        <v>1219</v>
      </c>
      <c r="B18" s="65" t="s">
        <v>1277</v>
      </c>
      <c r="C18" s="702">
        <f>_xlfn.FORECAST.LINEAR(G$7,D$11:E$11,$D$7:$E$7)</f>
        <v>1.0475609756097555</v>
      </c>
      <c r="D18" s="703">
        <f t="shared" si="16"/>
        <v>1</v>
      </c>
      <c r="E18" s="703">
        <f t="shared" si="16"/>
        <v>0.90476190476190477</v>
      </c>
      <c r="F18" s="703">
        <f t="shared" si="16"/>
        <v>0.9107142857142857</v>
      </c>
      <c r="G18" s="704">
        <f t="shared" ref="G18:G19" si="29">INDEX($Y18:$BM18,1,MATCH(G$7,$Y$7:$BM$7,0))/$C18</f>
        <v>1</v>
      </c>
      <c r="H18" s="704">
        <f t="shared" ref="H18:N19" si="30">INDEX($Y18:$BM18,1,MATCH(H$7,$Y$7:$BM$7,0))/$C18</f>
        <v>0.93186983757414388</v>
      </c>
      <c r="I18" s="704">
        <f t="shared" si="30"/>
        <v>0.92050557126226662</v>
      </c>
      <c r="J18" s="704">
        <f t="shared" si="30"/>
        <v>0.8636842397028669</v>
      </c>
      <c r="K18" s="704">
        <f t="shared" si="30"/>
        <v>0.86510477299185151</v>
      </c>
      <c r="L18" s="704">
        <f t="shared" si="30"/>
        <v>0.86652530628083646</v>
      </c>
      <c r="M18" s="704">
        <f t="shared" si="30"/>
        <v>0.86794583956982141</v>
      </c>
      <c r="N18" s="704">
        <f t="shared" si="30"/>
        <v>0.86936637285880647</v>
      </c>
      <c r="O18" s="707">
        <f>G18/$H18</f>
        <v>1.0731112433075563</v>
      </c>
      <c r="P18" s="707">
        <f t="shared" si="18"/>
        <v>1</v>
      </c>
      <c r="Q18" s="707">
        <f t="shared" si="19"/>
        <v>0.98780487804878325</v>
      </c>
      <c r="R18" s="707">
        <f t="shared" si="20"/>
        <v>0.92682926829268486</v>
      </c>
      <c r="S18" s="707">
        <f t="shared" si="21"/>
        <v>0.92835365853658691</v>
      </c>
      <c r="T18" s="707">
        <f t="shared" si="22"/>
        <v>0.92987804878048941</v>
      </c>
      <c r="U18" s="707">
        <f t="shared" si="23"/>
        <v>0.93140243902439179</v>
      </c>
      <c r="V18" s="92" t="e">
        <f>(D18-#REF!)/(D$7-#REF!)</f>
        <v>#REF!</v>
      </c>
      <c r="W18" s="92">
        <f t="shared" si="24"/>
        <v>-1.1904761904761904E-2</v>
      </c>
      <c r="X18" s="92">
        <f t="shared" si="24"/>
        <v>2.9761904761904656E-4</v>
      </c>
      <c r="Y18" s="92">
        <f t="shared" si="25"/>
        <v>1.2853658536585328</v>
      </c>
      <c r="Z18" s="92">
        <f t="shared" si="25"/>
        <v>1.2615853658536551</v>
      </c>
      <c r="AA18" s="92">
        <f t="shared" si="25"/>
        <v>1.2378048780487774</v>
      </c>
      <c r="AB18" s="92">
        <f t="shared" si="25"/>
        <v>1.2140243902438996</v>
      </c>
      <c r="AC18" s="92">
        <f t="shared" si="25"/>
        <v>1.1902439024390219</v>
      </c>
      <c r="AD18" s="92">
        <f t="shared" si="25"/>
        <v>1.1664634146341442</v>
      </c>
      <c r="AE18" s="92">
        <f t="shared" si="25"/>
        <v>1.1426829268292664</v>
      </c>
      <c r="AF18" s="92">
        <f t="shared" si="25"/>
        <v>1.1189024390243887</v>
      </c>
      <c r="AG18" s="92">
        <f t="shared" si="25"/>
        <v>1.0951219512195109</v>
      </c>
      <c r="AH18" s="92">
        <f t="shared" si="25"/>
        <v>1.0713414634146332</v>
      </c>
      <c r="AI18" s="92">
        <f t="shared" si="25"/>
        <v>1.0475609756097555</v>
      </c>
      <c r="AJ18" s="92">
        <f t="shared" si="25"/>
        <v>1.0237804878048777</v>
      </c>
      <c r="AK18" s="92">
        <f t="shared" si="25"/>
        <v>1</v>
      </c>
      <c r="AL18" s="92">
        <f t="shared" si="26"/>
        <v>0.98809523809523725</v>
      </c>
      <c r="AM18" s="92">
        <f t="shared" si="26"/>
        <v>0.9761904761904745</v>
      </c>
      <c r="AN18" s="92">
        <f t="shared" si="26"/>
        <v>0.9642857142857153</v>
      </c>
      <c r="AO18" s="92">
        <f t="shared" si="26"/>
        <v>0.95238095238095255</v>
      </c>
      <c r="AP18" s="92">
        <f t="shared" si="26"/>
        <v>0.9404761904761898</v>
      </c>
      <c r="AQ18" s="92">
        <f t="shared" si="26"/>
        <v>0.92857142857142705</v>
      </c>
      <c r="AR18" s="92">
        <f t="shared" si="26"/>
        <v>0.9166666666666643</v>
      </c>
      <c r="AS18" s="92">
        <f t="shared" si="26"/>
        <v>0.9047619047619051</v>
      </c>
      <c r="AT18" s="92">
        <f t="shared" si="27"/>
        <v>0.90505952380952381</v>
      </c>
      <c r="AU18" s="92">
        <f t="shared" si="27"/>
        <v>0.90535714285714286</v>
      </c>
      <c r="AV18" s="92">
        <f t="shared" si="27"/>
        <v>0.90565476190476191</v>
      </c>
      <c r="AW18" s="92">
        <f t="shared" si="27"/>
        <v>0.90595238095238095</v>
      </c>
      <c r="AX18" s="92">
        <f t="shared" si="27"/>
        <v>0.90625</v>
      </c>
      <c r="AY18" s="92">
        <f t="shared" si="27"/>
        <v>0.90654761904761905</v>
      </c>
      <c r="AZ18" s="92">
        <f t="shared" si="27"/>
        <v>0.90684523809523809</v>
      </c>
      <c r="BA18" s="92">
        <f t="shared" si="27"/>
        <v>0.90714285714285714</v>
      </c>
      <c r="BB18" s="92">
        <f t="shared" si="27"/>
        <v>0.90744047619047619</v>
      </c>
      <c r="BC18" s="92">
        <f t="shared" si="27"/>
        <v>0.90773809523809523</v>
      </c>
      <c r="BD18" s="92">
        <f t="shared" si="28"/>
        <v>0.90803571428571428</v>
      </c>
      <c r="BE18" s="92">
        <f t="shared" si="28"/>
        <v>0.90833333333333333</v>
      </c>
      <c r="BF18" s="92">
        <f t="shared" si="28"/>
        <v>0.90863095238095237</v>
      </c>
      <c r="BG18" s="92">
        <f t="shared" si="28"/>
        <v>0.90892857142857142</v>
      </c>
      <c r="BH18" s="92">
        <f t="shared" si="28"/>
        <v>0.90922619047619047</v>
      </c>
      <c r="BI18" s="92">
        <f t="shared" si="28"/>
        <v>0.90952380952380951</v>
      </c>
      <c r="BJ18" s="92">
        <f t="shared" si="28"/>
        <v>0.90982142857142856</v>
      </c>
      <c r="BK18" s="92">
        <f t="shared" si="28"/>
        <v>0.91011904761904761</v>
      </c>
      <c r="BL18" s="92">
        <f t="shared" si="28"/>
        <v>0.91041666666666665</v>
      </c>
      <c r="BM18" s="92">
        <f t="shared" si="28"/>
        <v>0.9107142857142857</v>
      </c>
    </row>
    <row r="19" spans="1:65" x14ac:dyDescent="0.25">
      <c r="A19" s="65" t="s">
        <v>1219</v>
      </c>
      <c r="B19" s="65" t="s">
        <v>1278</v>
      </c>
      <c r="C19" s="702">
        <f>_xlfn.FORECAST.LINEAR(G$7,D$11:E$11,$D$7:$E$7)</f>
        <v>1.0475609756097555</v>
      </c>
      <c r="D19" s="703">
        <f t="shared" si="16"/>
        <v>1</v>
      </c>
      <c r="E19" s="703">
        <f t="shared" si="16"/>
        <v>0.89880952380952384</v>
      </c>
      <c r="F19" s="703">
        <f t="shared" si="16"/>
        <v>0.90476190476190477</v>
      </c>
      <c r="G19" s="704">
        <f t="shared" si="29"/>
        <v>1</v>
      </c>
      <c r="H19" s="704">
        <f t="shared" si="30"/>
        <v>0.93044930428515915</v>
      </c>
      <c r="I19" s="704">
        <f t="shared" si="30"/>
        <v>0.91837477132878964</v>
      </c>
      <c r="J19" s="704">
        <f t="shared" si="30"/>
        <v>0.85800210654692821</v>
      </c>
      <c r="K19" s="704">
        <f t="shared" si="30"/>
        <v>0.85942263983591161</v>
      </c>
      <c r="L19" s="704">
        <f t="shared" si="30"/>
        <v>0.86084317312489655</v>
      </c>
      <c r="M19" s="704">
        <f t="shared" si="30"/>
        <v>0.86226370641388161</v>
      </c>
      <c r="N19" s="704">
        <f t="shared" si="30"/>
        <v>0.86368423970286656</v>
      </c>
      <c r="O19" s="707">
        <f>G19/$H19</f>
        <v>1.0747495810835981</v>
      </c>
      <c r="P19" s="707">
        <f t="shared" si="18"/>
        <v>1</v>
      </c>
      <c r="Q19" s="707">
        <f t="shared" si="19"/>
        <v>0.98702290076336174</v>
      </c>
      <c r="R19" s="707">
        <f t="shared" si="20"/>
        <v>0.9221374045801557</v>
      </c>
      <c r="S19" s="707">
        <f t="shared" si="21"/>
        <v>0.9236641221374059</v>
      </c>
      <c r="T19" s="707">
        <f t="shared" si="22"/>
        <v>0.92519083969465776</v>
      </c>
      <c r="U19" s="707">
        <f t="shared" si="23"/>
        <v>0.92671755725190985</v>
      </c>
      <c r="V19" s="92" t="e">
        <f>(D19-#REF!)/(D$7-#REF!)</f>
        <v>#REF!</v>
      </c>
      <c r="W19" s="92">
        <f t="shared" si="24"/>
        <v>-1.2648809523809521E-2</v>
      </c>
      <c r="X19" s="92">
        <f t="shared" si="24"/>
        <v>2.9761904761904656E-4</v>
      </c>
      <c r="Y19" s="92">
        <f t="shared" si="25"/>
        <v>1.2853658536585328</v>
      </c>
      <c r="Z19" s="92">
        <f t="shared" si="25"/>
        <v>1.2615853658536551</v>
      </c>
      <c r="AA19" s="92">
        <f t="shared" si="25"/>
        <v>1.2378048780487774</v>
      </c>
      <c r="AB19" s="92">
        <f t="shared" si="25"/>
        <v>1.2140243902438996</v>
      </c>
      <c r="AC19" s="92">
        <f t="shared" si="25"/>
        <v>1.1902439024390219</v>
      </c>
      <c r="AD19" s="92">
        <f t="shared" si="25"/>
        <v>1.1664634146341442</v>
      </c>
      <c r="AE19" s="92">
        <f t="shared" si="25"/>
        <v>1.1426829268292664</v>
      </c>
      <c r="AF19" s="92">
        <f t="shared" si="25"/>
        <v>1.1189024390243887</v>
      </c>
      <c r="AG19" s="92">
        <f t="shared" si="25"/>
        <v>1.0951219512195109</v>
      </c>
      <c r="AH19" s="92">
        <f t="shared" si="25"/>
        <v>1.0713414634146332</v>
      </c>
      <c r="AI19" s="92">
        <f t="shared" si="25"/>
        <v>1.0475609756097555</v>
      </c>
      <c r="AJ19" s="92">
        <f t="shared" si="25"/>
        <v>1.0237804878048777</v>
      </c>
      <c r="AK19" s="92">
        <f t="shared" si="25"/>
        <v>1</v>
      </c>
      <c r="AL19" s="92">
        <f t="shared" si="26"/>
        <v>0.9873511904761898</v>
      </c>
      <c r="AM19" s="92">
        <f t="shared" si="26"/>
        <v>0.9747023809523796</v>
      </c>
      <c r="AN19" s="92">
        <f t="shared" si="26"/>
        <v>0.96205357142857295</v>
      </c>
      <c r="AO19" s="92">
        <f t="shared" si="26"/>
        <v>0.94940476190476275</v>
      </c>
      <c r="AP19" s="92">
        <f t="shared" si="26"/>
        <v>0.93675595238095255</v>
      </c>
      <c r="AQ19" s="92">
        <f t="shared" si="26"/>
        <v>0.92410714285714235</v>
      </c>
      <c r="AR19" s="92">
        <f t="shared" si="26"/>
        <v>0.91145833333333215</v>
      </c>
      <c r="AS19" s="92">
        <f t="shared" si="26"/>
        <v>0.8988095238095255</v>
      </c>
      <c r="AT19" s="92">
        <f t="shared" si="27"/>
        <v>0.89910714285714288</v>
      </c>
      <c r="AU19" s="92">
        <f t="shared" si="27"/>
        <v>0.89940476190476193</v>
      </c>
      <c r="AV19" s="92">
        <f t="shared" si="27"/>
        <v>0.89970238095238098</v>
      </c>
      <c r="AW19" s="92">
        <f t="shared" si="27"/>
        <v>0.9</v>
      </c>
      <c r="AX19" s="92">
        <f t="shared" si="27"/>
        <v>0.90029761904761907</v>
      </c>
      <c r="AY19" s="92">
        <f t="shared" si="27"/>
        <v>0.90059523809523812</v>
      </c>
      <c r="AZ19" s="92">
        <f t="shared" si="27"/>
        <v>0.90089285714285716</v>
      </c>
      <c r="BA19" s="92">
        <f t="shared" si="27"/>
        <v>0.90119047619047621</v>
      </c>
      <c r="BB19" s="92">
        <f t="shared" si="27"/>
        <v>0.90148809523809526</v>
      </c>
      <c r="BC19" s="92">
        <f t="shared" si="27"/>
        <v>0.9017857142857143</v>
      </c>
      <c r="BD19" s="92">
        <f t="shared" si="28"/>
        <v>0.90208333333333335</v>
      </c>
      <c r="BE19" s="92">
        <f t="shared" si="28"/>
        <v>0.90238095238095239</v>
      </c>
      <c r="BF19" s="92">
        <f t="shared" si="28"/>
        <v>0.90267857142857144</v>
      </c>
      <c r="BG19" s="92">
        <f t="shared" si="28"/>
        <v>0.90297619047619049</v>
      </c>
      <c r="BH19" s="92">
        <f t="shared" si="28"/>
        <v>0.90327380952380953</v>
      </c>
      <c r="BI19" s="92">
        <f t="shared" si="28"/>
        <v>0.90357142857142858</v>
      </c>
      <c r="BJ19" s="92">
        <f t="shared" si="28"/>
        <v>0.90386904761904763</v>
      </c>
      <c r="BK19" s="92">
        <f t="shared" si="28"/>
        <v>0.90416666666666667</v>
      </c>
      <c r="BL19" s="92">
        <f t="shared" si="28"/>
        <v>0.90446428571428572</v>
      </c>
      <c r="BM19" s="92">
        <f t="shared" si="28"/>
        <v>0.90476190476190477</v>
      </c>
    </row>
    <row r="20" spans="1:65" x14ac:dyDescent="0.25">
      <c r="A20" s="65" t="s">
        <v>1307</v>
      </c>
      <c r="B20" s="65" t="s">
        <v>1276</v>
      </c>
      <c r="D20" s="701">
        <v>95</v>
      </c>
      <c r="E20" s="701">
        <v>65</v>
      </c>
      <c r="F20" s="701">
        <v>45</v>
      </c>
    </row>
    <row r="21" spans="1:65" x14ac:dyDescent="0.25">
      <c r="A21" s="65" t="s">
        <v>1307</v>
      </c>
      <c r="B21" s="65" t="s">
        <v>1277</v>
      </c>
      <c r="D21" s="701">
        <v>95</v>
      </c>
      <c r="E21" s="701">
        <v>55</v>
      </c>
      <c r="F21" s="701">
        <v>35</v>
      </c>
    </row>
    <row r="22" spans="1:65" x14ac:dyDescent="0.25">
      <c r="A22" s="65" t="s">
        <v>1307</v>
      </c>
      <c r="B22" s="65" t="s">
        <v>1278</v>
      </c>
      <c r="D22" s="701">
        <v>95</v>
      </c>
      <c r="E22" s="701">
        <v>50</v>
      </c>
      <c r="F22" s="701">
        <v>30</v>
      </c>
    </row>
    <row r="23" spans="1:65" x14ac:dyDescent="0.25">
      <c r="B23" s="65" t="s">
        <v>1276</v>
      </c>
      <c r="C23" s="702">
        <f>_xlfn.FORECAST.LINEAR(G$7,D$23:E$23,$D$7:$E$7)</f>
        <v>1.0789473684210549</v>
      </c>
      <c r="D23" s="703">
        <f t="shared" ref="D23:F23" si="31">D20/$D20</f>
        <v>1</v>
      </c>
      <c r="E23" s="703">
        <f t="shared" si="31"/>
        <v>0.68421052631578949</v>
      </c>
      <c r="F23" s="703">
        <f t="shared" si="31"/>
        <v>0.47368421052631576</v>
      </c>
      <c r="G23" s="704">
        <f t="shared" ref="G23:N23" si="32">INDEX($Y23:$BM23,1,MATCH(G$7,$Y$7:$BM$7,0))/$C23</f>
        <v>0.99999999999998679</v>
      </c>
      <c r="H23" s="704">
        <f t="shared" si="32"/>
        <v>0.85365853658536195</v>
      </c>
      <c r="I23" s="704">
        <f t="shared" si="32"/>
        <v>0.81707317073170904</v>
      </c>
      <c r="J23" s="704">
        <f t="shared" si="32"/>
        <v>0.63414634146341819</v>
      </c>
      <c r="K23" s="704">
        <f t="shared" si="32"/>
        <v>0.58536585365853555</v>
      </c>
      <c r="L23" s="704">
        <f t="shared" si="32"/>
        <v>0.53658536585365624</v>
      </c>
      <c r="M23" s="704">
        <f t="shared" si="32"/>
        <v>0.48780487804877687</v>
      </c>
      <c r="N23" s="704">
        <f t="shared" si="32"/>
        <v>0.43902439024390083</v>
      </c>
      <c r="O23" s="707">
        <f>G23/$H23</f>
        <v>1.1714285714285613</v>
      </c>
      <c r="P23" s="707">
        <f t="shared" ref="P23:P25" si="33">H23/$H23</f>
        <v>1</v>
      </c>
      <c r="Q23" s="707">
        <f t="shared" ref="Q23:Q25" si="34">I23/$H23</f>
        <v>0.95714285714286351</v>
      </c>
      <c r="R23" s="707">
        <f t="shared" ref="R23:R25" si="35">J23/$H23</f>
        <v>0.74285714285715043</v>
      </c>
      <c r="S23" s="707">
        <f t="shared" ref="S23:S25" si="36">K23/$H23</f>
        <v>0.68571428571428761</v>
      </c>
      <c r="T23" s="707">
        <f t="shared" ref="T23:T25" si="37">L23/$H23</f>
        <v>0.62857142857142878</v>
      </c>
      <c r="U23" s="707">
        <f t="shared" ref="U23:U25" si="38">M23/$H23</f>
        <v>0.57142857142856984</v>
      </c>
      <c r="Y23" s="92">
        <f t="shared" ref="Y23:AK25" si="39">_xlfn.FORECAST.LINEAR(Y$7,$C23:$D23,$C$7:$D$7)</f>
        <v>1.473684210526315</v>
      </c>
      <c r="Z23" s="92">
        <f t="shared" si="39"/>
        <v>1.4342105263157805</v>
      </c>
      <c r="AA23" s="92">
        <f t="shared" si="39"/>
        <v>1.3947368421052602</v>
      </c>
      <c r="AB23" s="92">
        <f t="shared" si="39"/>
        <v>1.3552631578947398</v>
      </c>
      <c r="AC23" s="92">
        <f t="shared" si="39"/>
        <v>1.3157894736842053</v>
      </c>
      <c r="AD23" s="92">
        <f t="shared" si="39"/>
        <v>1.2763157894736707</v>
      </c>
      <c r="AE23" s="92">
        <f t="shared" si="39"/>
        <v>1.2368421052631504</v>
      </c>
      <c r="AF23" s="92">
        <f t="shared" si="39"/>
        <v>1.1973684210526301</v>
      </c>
      <c r="AG23" s="92">
        <f t="shared" si="39"/>
        <v>1.1578947368420955</v>
      </c>
      <c r="AH23" s="92">
        <f t="shared" si="39"/>
        <v>1.118421052631561</v>
      </c>
      <c r="AI23" s="92">
        <f t="shared" si="39"/>
        <v>1.0789473684210407</v>
      </c>
      <c r="AJ23" s="92">
        <f t="shared" si="39"/>
        <v>1.0394736842105203</v>
      </c>
      <c r="AK23" s="92">
        <f t="shared" si="39"/>
        <v>0.99999999999998579</v>
      </c>
      <c r="AL23" s="92">
        <f t="shared" ref="AL23:AS25" si="40">_xlfn.FORECAST.LINEAR(AL$7,$D23:$E23,$D$7:$E$7)</f>
        <v>0.96052631578947967</v>
      </c>
      <c r="AM23" s="92">
        <f t="shared" si="40"/>
        <v>0.92105263157894512</v>
      </c>
      <c r="AN23" s="92">
        <f t="shared" si="40"/>
        <v>0.88157894736842479</v>
      </c>
      <c r="AO23" s="92">
        <f t="shared" si="40"/>
        <v>0.84210526315789025</v>
      </c>
      <c r="AP23" s="92">
        <f t="shared" si="40"/>
        <v>0.80263157894736992</v>
      </c>
      <c r="AQ23" s="92">
        <f t="shared" si="40"/>
        <v>0.76315789473683537</v>
      </c>
      <c r="AR23" s="92">
        <f t="shared" si="40"/>
        <v>0.72368421052631504</v>
      </c>
      <c r="AS23" s="92">
        <f t="shared" si="40"/>
        <v>0.68421052631579471</v>
      </c>
      <c r="AT23" s="92">
        <f t="shared" ref="AT23:BI25" si="41">_xlfn.FORECAST.LINEAR(AT$7,$E23:$F23,$E$7:$F$7)</f>
        <v>0.67368421052631433</v>
      </c>
      <c r="AU23" s="92">
        <f t="shared" si="41"/>
        <v>0.66315789473684106</v>
      </c>
      <c r="AV23" s="92">
        <f t="shared" si="41"/>
        <v>0.65263157894736779</v>
      </c>
      <c r="AW23" s="92">
        <f t="shared" si="41"/>
        <v>0.64210526315789451</v>
      </c>
      <c r="AX23" s="92">
        <f t="shared" si="41"/>
        <v>0.63157894736842124</v>
      </c>
      <c r="AY23" s="92">
        <f t="shared" si="41"/>
        <v>0.62105263157894441</v>
      </c>
      <c r="AZ23" s="92">
        <f t="shared" si="41"/>
        <v>0.61052631578947114</v>
      </c>
      <c r="BA23" s="92">
        <f t="shared" si="41"/>
        <v>0.59999999999999787</v>
      </c>
      <c r="BB23" s="92">
        <f t="shared" si="41"/>
        <v>0.5894736842105246</v>
      </c>
      <c r="BC23" s="92">
        <f t="shared" si="41"/>
        <v>0.57894736842105132</v>
      </c>
      <c r="BD23" s="92">
        <f t="shared" si="41"/>
        <v>0.56842105263157805</v>
      </c>
      <c r="BE23" s="92">
        <f t="shared" si="41"/>
        <v>0.55789473684210478</v>
      </c>
      <c r="BF23" s="92">
        <f t="shared" si="41"/>
        <v>0.5473684210526315</v>
      </c>
      <c r="BG23" s="92">
        <f t="shared" si="41"/>
        <v>0.53684210526315468</v>
      </c>
      <c r="BH23" s="92">
        <f t="shared" si="41"/>
        <v>0.52631578947368141</v>
      </c>
      <c r="BI23" s="92">
        <f t="shared" si="41"/>
        <v>0.51578947368420813</v>
      </c>
      <c r="BJ23" s="92">
        <f t="shared" ref="BD23:BM25" si="42">_xlfn.FORECAST.LINEAR(BJ$7,$E23:$F23,$E$7:$F$7)</f>
        <v>0.50526315789473486</v>
      </c>
      <c r="BK23" s="92">
        <f t="shared" si="42"/>
        <v>0.49473684210526159</v>
      </c>
      <c r="BL23" s="92">
        <f t="shared" si="42"/>
        <v>0.48421052631578831</v>
      </c>
      <c r="BM23" s="92">
        <f t="shared" si="42"/>
        <v>0.47368421052631504</v>
      </c>
    </row>
    <row r="24" spans="1:65" x14ac:dyDescent="0.25">
      <c r="B24" s="65" t="s">
        <v>1277</v>
      </c>
      <c r="C24" s="702">
        <f t="shared" ref="C24:C25" si="43">_xlfn.FORECAST.LINEAR(G$7,D$23:E$23,$D$7:$E$7)</f>
        <v>1.0789473684210549</v>
      </c>
      <c r="D24" s="703">
        <f t="shared" ref="D24:F24" si="44">D21/$D21</f>
        <v>1</v>
      </c>
      <c r="E24" s="703">
        <f t="shared" si="44"/>
        <v>0.57894736842105265</v>
      </c>
      <c r="F24" s="703">
        <f t="shared" si="44"/>
        <v>0.36842105263157893</v>
      </c>
      <c r="G24" s="704">
        <f t="shared" ref="G24:G25" si="45">INDEX($Y24:$BM24,1,MATCH(G$7,$Y$7:$BM$7,0))/$C24</f>
        <v>0.99999999999998679</v>
      </c>
      <c r="H24" s="704">
        <f t="shared" ref="H24:N25" si="46">INDEX($Y24:$BM24,1,MATCH(H$7,$Y$7:$BM$7,0))/$C24</f>
        <v>0.82926829268290914</v>
      </c>
      <c r="I24" s="704">
        <f t="shared" si="46"/>
        <v>0.78048780487804303</v>
      </c>
      <c r="J24" s="704">
        <f t="shared" si="46"/>
        <v>0.53658536585364636</v>
      </c>
      <c r="K24" s="704">
        <f t="shared" si="46"/>
        <v>0.48780487804878014</v>
      </c>
      <c r="L24" s="704">
        <f t="shared" si="46"/>
        <v>0.43902439024390083</v>
      </c>
      <c r="M24" s="704">
        <f t="shared" si="46"/>
        <v>0.39024390243902152</v>
      </c>
      <c r="N24" s="704">
        <f t="shared" si="46"/>
        <v>0.34146341463414548</v>
      </c>
      <c r="O24" s="707">
        <f>G24/$H24</f>
        <v>1.2058823529411862</v>
      </c>
      <c r="P24" s="707">
        <f t="shared" si="33"/>
        <v>1</v>
      </c>
      <c r="Q24" s="707">
        <f t="shared" si="34"/>
        <v>0.94117647058824849</v>
      </c>
      <c r="R24" s="707">
        <f t="shared" si="35"/>
        <v>0.64705882352941091</v>
      </c>
      <c r="S24" s="707">
        <f t="shared" si="36"/>
        <v>0.58823529411765918</v>
      </c>
      <c r="T24" s="707">
        <f t="shared" si="37"/>
        <v>0.52941176470589169</v>
      </c>
      <c r="U24" s="707">
        <f t="shared" si="38"/>
        <v>0.47058823529412425</v>
      </c>
      <c r="Y24" s="92">
        <f t="shared" si="39"/>
        <v>1.473684210526315</v>
      </c>
      <c r="Z24" s="92">
        <f t="shared" si="39"/>
        <v>1.4342105263157805</v>
      </c>
      <c r="AA24" s="92">
        <f t="shared" si="39"/>
        <v>1.3947368421052602</v>
      </c>
      <c r="AB24" s="92">
        <f t="shared" si="39"/>
        <v>1.3552631578947398</v>
      </c>
      <c r="AC24" s="92">
        <f t="shared" si="39"/>
        <v>1.3157894736842053</v>
      </c>
      <c r="AD24" s="92">
        <f t="shared" si="39"/>
        <v>1.2763157894736707</v>
      </c>
      <c r="AE24" s="92">
        <f t="shared" si="39"/>
        <v>1.2368421052631504</v>
      </c>
      <c r="AF24" s="92">
        <f t="shared" si="39"/>
        <v>1.1973684210526301</v>
      </c>
      <c r="AG24" s="92">
        <f t="shared" si="39"/>
        <v>1.1578947368420955</v>
      </c>
      <c r="AH24" s="92">
        <f t="shared" si="39"/>
        <v>1.118421052631561</v>
      </c>
      <c r="AI24" s="92">
        <f t="shared" si="39"/>
        <v>1.0789473684210407</v>
      </c>
      <c r="AJ24" s="92">
        <f t="shared" si="39"/>
        <v>1.0394736842105203</v>
      </c>
      <c r="AK24" s="92">
        <f t="shared" si="39"/>
        <v>0.99999999999998579</v>
      </c>
      <c r="AL24" s="92">
        <f t="shared" si="40"/>
        <v>0.94736842105261587</v>
      </c>
      <c r="AM24" s="92">
        <f t="shared" si="40"/>
        <v>0.89473684210524596</v>
      </c>
      <c r="AN24" s="92">
        <f t="shared" si="40"/>
        <v>0.84210526315789025</v>
      </c>
      <c r="AO24" s="92">
        <f t="shared" si="40"/>
        <v>0.78947368421052033</v>
      </c>
      <c r="AP24" s="92">
        <f t="shared" si="40"/>
        <v>0.73684210526315042</v>
      </c>
      <c r="AQ24" s="92">
        <f t="shared" si="40"/>
        <v>0.6842105263157805</v>
      </c>
      <c r="AR24" s="92">
        <f t="shared" si="40"/>
        <v>0.63157894736841058</v>
      </c>
      <c r="AS24" s="92">
        <f t="shared" si="40"/>
        <v>0.57894736842104066</v>
      </c>
      <c r="AT24" s="92">
        <f t="shared" si="41"/>
        <v>0.56842105263157805</v>
      </c>
      <c r="AU24" s="92">
        <f t="shared" si="41"/>
        <v>0.55789473684210478</v>
      </c>
      <c r="AV24" s="92">
        <f t="shared" si="41"/>
        <v>0.5473684210526315</v>
      </c>
      <c r="AW24" s="92">
        <f t="shared" si="41"/>
        <v>0.53684210526315823</v>
      </c>
      <c r="AX24" s="92">
        <f t="shared" si="41"/>
        <v>0.52631578947368496</v>
      </c>
      <c r="AY24" s="92">
        <f t="shared" si="41"/>
        <v>0.51578947368420813</v>
      </c>
      <c r="AZ24" s="92">
        <f t="shared" si="41"/>
        <v>0.50526315789473486</v>
      </c>
      <c r="BA24" s="92">
        <f t="shared" si="41"/>
        <v>0.49473684210526159</v>
      </c>
      <c r="BB24" s="92">
        <f t="shared" si="41"/>
        <v>0.48421052631578831</v>
      </c>
      <c r="BC24" s="92">
        <f t="shared" si="41"/>
        <v>0.47368421052631504</v>
      </c>
      <c r="BD24" s="92">
        <f t="shared" si="42"/>
        <v>0.46315789473684177</v>
      </c>
      <c r="BE24" s="92">
        <f t="shared" si="42"/>
        <v>0.4526315789473685</v>
      </c>
      <c r="BF24" s="92">
        <f t="shared" si="42"/>
        <v>0.44210526315789522</v>
      </c>
      <c r="BG24" s="92">
        <f t="shared" si="42"/>
        <v>0.4315789473684184</v>
      </c>
      <c r="BH24" s="92">
        <f t="shared" si="42"/>
        <v>0.42105263157894512</v>
      </c>
      <c r="BI24" s="92">
        <f t="shared" si="42"/>
        <v>0.41052631578947185</v>
      </c>
      <c r="BJ24" s="92">
        <f t="shared" si="42"/>
        <v>0.39999999999999858</v>
      </c>
      <c r="BK24" s="92">
        <f t="shared" si="42"/>
        <v>0.38947368421052531</v>
      </c>
      <c r="BL24" s="92">
        <f t="shared" si="42"/>
        <v>0.37894736842105203</v>
      </c>
      <c r="BM24" s="92">
        <f t="shared" si="42"/>
        <v>0.36842105263157876</v>
      </c>
    </row>
    <row r="25" spans="1:65" x14ac:dyDescent="0.25">
      <c r="B25" s="65" t="s">
        <v>1278</v>
      </c>
      <c r="C25" s="702">
        <f t="shared" si="43"/>
        <v>1.0789473684210549</v>
      </c>
      <c r="D25" s="703">
        <f t="shared" ref="D25:F25" si="47">D22/$D22</f>
        <v>1</v>
      </c>
      <c r="E25" s="703">
        <f t="shared" si="47"/>
        <v>0.52631578947368418</v>
      </c>
      <c r="F25" s="703">
        <f t="shared" si="47"/>
        <v>0.31578947368421051</v>
      </c>
      <c r="G25" s="704">
        <f t="shared" si="45"/>
        <v>0.99999999999998679</v>
      </c>
      <c r="H25" s="704">
        <f t="shared" si="46"/>
        <v>0.81707317073169594</v>
      </c>
      <c r="I25" s="704">
        <f t="shared" si="46"/>
        <v>0.76219512195121653</v>
      </c>
      <c r="J25" s="704">
        <f t="shared" si="46"/>
        <v>0.48780487804876699</v>
      </c>
      <c r="K25" s="704">
        <f t="shared" si="46"/>
        <v>0.43902439024390411</v>
      </c>
      <c r="L25" s="704">
        <f t="shared" si="46"/>
        <v>0.39024390243902479</v>
      </c>
      <c r="M25" s="704">
        <f t="shared" si="46"/>
        <v>0.34146341463414548</v>
      </c>
      <c r="N25" s="704">
        <f t="shared" si="46"/>
        <v>0.29268292682926944</v>
      </c>
      <c r="O25" s="707">
        <f>G25/$H25</f>
        <v>1.2238805970149262</v>
      </c>
      <c r="P25" s="707">
        <f t="shared" si="33"/>
        <v>1</v>
      </c>
      <c r="Q25" s="707">
        <f t="shared" si="34"/>
        <v>0.93283582089553174</v>
      </c>
      <c r="R25" s="707">
        <f t="shared" si="35"/>
        <v>0.59701492537312617</v>
      </c>
      <c r="S25" s="707">
        <f t="shared" si="36"/>
        <v>0.53731343283583044</v>
      </c>
      <c r="T25" s="707">
        <f t="shared" si="37"/>
        <v>0.47761194029851461</v>
      </c>
      <c r="U25" s="707">
        <f t="shared" si="38"/>
        <v>0.41791044776119879</v>
      </c>
      <c r="Y25" s="92">
        <f t="shared" si="39"/>
        <v>1.473684210526315</v>
      </c>
      <c r="Z25" s="92">
        <f t="shared" si="39"/>
        <v>1.4342105263157805</v>
      </c>
      <c r="AA25" s="92">
        <f t="shared" si="39"/>
        <v>1.3947368421052602</v>
      </c>
      <c r="AB25" s="92">
        <f t="shared" si="39"/>
        <v>1.3552631578947398</v>
      </c>
      <c r="AC25" s="92">
        <f t="shared" si="39"/>
        <v>1.3157894736842053</v>
      </c>
      <c r="AD25" s="92">
        <f t="shared" si="39"/>
        <v>1.2763157894736707</v>
      </c>
      <c r="AE25" s="92">
        <f t="shared" si="39"/>
        <v>1.2368421052631504</v>
      </c>
      <c r="AF25" s="92">
        <f t="shared" si="39"/>
        <v>1.1973684210526301</v>
      </c>
      <c r="AG25" s="92">
        <f t="shared" si="39"/>
        <v>1.1578947368420955</v>
      </c>
      <c r="AH25" s="92">
        <f t="shared" si="39"/>
        <v>1.118421052631561</v>
      </c>
      <c r="AI25" s="92">
        <f t="shared" si="39"/>
        <v>1.0789473684210407</v>
      </c>
      <c r="AJ25" s="92">
        <f t="shared" si="39"/>
        <v>1.0394736842105203</v>
      </c>
      <c r="AK25" s="92">
        <f t="shared" si="39"/>
        <v>0.99999999999998579</v>
      </c>
      <c r="AL25" s="92">
        <f t="shared" si="40"/>
        <v>0.94078947368420529</v>
      </c>
      <c r="AM25" s="92">
        <f t="shared" si="40"/>
        <v>0.88157894736841058</v>
      </c>
      <c r="AN25" s="92">
        <f t="shared" si="40"/>
        <v>0.82236842105263008</v>
      </c>
      <c r="AO25" s="92">
        <f t="shared" si="40"/>
        <v>0.76315789473683537</v>
      </c>
      <c r="AP25" s="92">
        <f t="shared" si="40"/>
        <v>0.70394736842104066</v>
      </c>
      <c r="AQ25" s="92">
        <f t="shared" si="40"/>
        <v>0.64473684210526017</v>
      </c>
      <c r="AR25" s="92">
        <f t="shared" si="40"/>
        <v>0.58552631578946546</v>
      </c>
      <c r="AS25" s="92">
        <f t="shared" si="40"/>
        <v>0.52631578947367075</v>
      </c>
      <c r="AT25" s="92">
        <f t="shared" si="41"/>
        <v>0.51578947368421169</v>
      </c>
      <c r="AU25" s="92">
        <f t="shared" si="41"/>
        <v>0.50526315789473841</v>
      </c>
      <c r="AV25" s="92">
        <f t="shared" si="41"/>
        <v>0.49473684210526514</v>
      </c>
      <c r="AW25" s="92">
        <f t="shared" si="41"/>
        <v>0.48421052631579187</v>
      </c>
      <c r="AX25" s="92">
        <f t="shared" si="41"/>
        <v>0.47368421052631859</v>
      </c>
      <c r="AY25" s="92">
        <f t="shared" si="41"/>
        <v>0.46315789473684177</v>
      </c>
      <c r="AZ25" s="92">
        <f t="shared" si="41"/>
        <v>0.4526315789473685</v>
      </c>
      <c r="BA25" s="92">
        <f t="shared" si="41"/>
        <v>0.44210526315789522</v>
      </c>
      <c r="BB25" s="92">
        <f t="shared" si="41"/>
        <v>0.43157894736842195</v>
      </c>
      <c r="BC25" s="92">
        <f t="shared" si="41"/>
        <v>0.42105263157894868</v>
      </c>
      <c r="BD25" s="92">
        <f t="shared" si="42"/>
        <v>0.4105263157894754</v>
      </c>
      <c r="BE25" s="92">
        <f t="shared" si="42"/>
        <v>0.40000000000000213</v>
      </c>
      <c r="BF25" s="92">
        <f t="shared" si="42"/>
        <v>0.38947368421052886</v>
      </c>
      <c r="BG25" s="92">
        <f t="shared" si="42"/>
        <v>0.37894736842105203</v>
      </c>
      <c r="BH25" s="92">
        <f t="shared" si="42"/>
        <v>0.36842105263157876</v>
      </c>
      <c r="BI25" s="92">
        <f t="shared" si="42"/>
        <v>0.35789473684210549</v>
      </c>
      <c r="BJ25" s="92">
        <f t="shared" si="42"/>
        <v>0.34736842105263221</v>
      </c>
      <c r="BK25" s="92">
        <f t="shared" si="42"/>
        <v>0.33684210526315894</v>
      </c>
      <c r="BL25" s="92">
        <f t="shared" si="42"/>
        <v>0.32631578947368567</v>
      </c>
      <c r="BM25" s="92">
        <f t="shared" si="42"/>
        <v>0.3157894736842124</v>
      </c>
    </row>
  </sheetData>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0DED45-6038-432A-A19F-743724BCBC83}">
  <sheetPr>
    <tabColor theme="8" tint="0.79998168889431442"/>
  </sheetPr>
  <dimension ref="A1:V100"/>
  <sheetViews>
    <sheetView workbookViewId="0"/>
  </sheetViews>
  <sheetFormatPr defaultColWidth="9.140625" defaultRowHeight="15" x14ac:dyDescent="0.25"/>
  <cols>
    <col min="1" max="14" width="9.140625" style="664"/>
    <col min="15" max="15" width="10.5703125" style="664" bestFit="1" customWidth="1"/>
    <col min="16" max="16" width="10.5703125" style="664" customWidth="1"/>
    <col min="17" max="18" width="10.5703125" style="664" bestFit="1" customWidth="1"/>
    <col min="19" max="19" width="9.5703125" style="664" bestFit="1" customWidth="1"/>
    <col min="20" max="20" width="10.5703125" style="664" bestFit="1" customWidth="1"/>
    <col min="21" max="21" width="9.5703125" style="664" bestFit="1" customWidth="1"/>
    <col min="22" max="22" width="10.5703125" style="664" bestFit="1" customWidth="1"/>
    <col min="23" max="16384" width="9.140625" style="664"/>
  </cols>
  <sheetData>
    <row r="1" spans="1:22" ht="26.25" x14ac:dyDescent="0.25">
      <c r="A1" s="663" t="s">
        <v>1220</v>
      </c>
      <c r="B1" s="663" t="s">
        <v>1221</v>
      </c>
      <c r="C1" s="663" t="s">
        <v>1222</v>
      </c>
      <c r="D1" s="663" t="s">
        <v>315</v>
      </c>
      <c r="E1" s="663" t="s">
        <v>1223</v>
      </c>
      <c r="G1" s="665" t="s">
        <v>501</v>
      </c>
      <c r="H1" s="666" t="s">
        <v>1224</v>
      </c>
    </row>
    <row r="2" spans="1:22" x14ac:dyDescent="0.25">
      <c r="A2" s="667" t="s">
        <v>237</v>
      </c>
      <c r="B2" s="667" t="s">
        <v>1225</v>
      </c>
      <c r="C2" s="667">
        <v>2020</v>
      </c>
      <c r="D2" s="667" t="s">
        <v>1226</v>
      </c>
      <c r="E2" s="668">
        <v>122633.16</v>
      </c>
      <c r="H2" s="669" t="s">
        <v>1227</v>
      </c>
    </row>
    <row r="3" spans="1:22" x14ac:dyDescent="0.25">
      <c r="A3" s="667" t="s">
        <v>237</v>
      </c>
      <c r="B3" s="667" t="s">
        <v>1228</v>
      </c>
      <c r="C3" s="667">
        <v>2020</v>
      </c>
      <c r="D3" s="667" t="s">
        <v>1226</v>
      </c>
      <c r="E3" s="668">
        <v>77800.603999999905</v>
      </c>
    </row>
    <row r="4" spans="1:22" x14ac:dyDescent="0.25">
      <c r="A4" s="667" t="s">
        <v>237</v>
      </c>
      <c r="B4" s="667" t="s">
        <v>1228</v>
      </c>
      <c r="C4" s="667">
        <v>2025</v>
      </c>
      <c r="D4" s="667" t="s">
        <v>1226</v>
      </c>
      <c r="E4" s="668">
        <v>79211.135921093199</v>
      </c>
      <c r="G4" s="664" t="s">
        <v>315</v>
      </c>
      <c r="H4" s="664" t="s">
        <v>1226</v>
      </c>
    </row>
    <row r="5" spans="1:22" x14ac:dyDescent="0.25">
      <c r="A5" s="667" t="s">
        <v>237</v>
      </c>
      <c r="B5" s="667" t="s">
        <v>1228</v>
      </c>
      <c r="C5" s="667">
        <v>2025</v>
      </c>
      <c r="D5" s="667" t="s">
        <v>1229</v>
      </c>
      <c r="E5" s="668">
        <v>79490.601319670997</v>
      </c>
      <c r="N5" s="359" t="s">
        <v>1230</v>
      </c>
      <c r="O5" s="670">
        <v>14.898416666666668</v>
      </c>
      <c r="P5" s="670"/>
      <c r="Q5" s="65" t="s">
        <v>1231</v>
      </c>
      <c r="R5" s="671">
        <v>15.898018718397513</v>
      </c>
      <c r="S5" s="65" t="s">
        <v>1127</v>
      </c>
      <c r="U5" s="672" t="s">
        <v>1232</v>
      </c>
    </row>
    <row r="6" spans="1:22" x14ac:dyDescent="0.25">
      <c r="A6" s="667" t="s">
        <v>1117</v>
      </c>
      <c r="B6" s="667" t="s">
        <v>1228</v>
      </c>
      <c r="C6" s="667">
        <v>2025</v>
      </c>
      <c r="D6" s="667" t="s">
        <v>1226</v>
      </c>
      <c r="E6" s="668">
        <v>111239.99801395601</v>
      </c>
      <c r="G6" s="664" t="s">
        <v>1233</v>
      </c>
      <c r="H6" s="664" t="s">
        <v>1234</v>
      </c>
      <c r="Q6" s="664" t="s">
        <v>1235</v>
      </c>
      <c r="R6" s="673">
        <v>7.0000000000000007E-2</v>
      </c>
    </row>
    <row r="7" spans="1:22" x14ac:dyDescent="0.25">
      <c r="A7" s="667" t="s">
        <v>1117</v>
      </c>
      <c r="B7" s="667" t="s">
        <v>1228</v>
      </c>
      <c r="C7" s="667">
        <v>2025</v>
      </c>
      <c r="D7" s="667" t="s">
        <v>1229</v>
      </c>
      <c r="E7" s="668">
        <v>106439.575779619</v>
      </c>
      <c r="G7" s="664" t="s">
        <v>1236</v>
      </c>
      <c r="H7" s="664">
        <v>2020</v>
      </c>
      <c r="I7" s="664">
        <v>2025</v>
      </c>
      <c r="J7" s="664">
        <v>2030</v>
      </c>
      <c r="K7" s="664">
        <v>2040</v>
      </c>
      <c r="L7" s="664">
        <v>2050</v>
      </c>
      <c r="O7" s="664">
        <v>2020</v>
      </c>
      <c r="P7" s="664">
        <v>2024</v>
      </c>
      <c r="Q7" s="664">
        <v>2025</v>
      </c>
      <c r="R7" s="664">
        <v>2030</v>
      </c>
      <c r="S7" s="664">
        <v>2035</v>
      </c>
      <c r="T7" s="664">
        <v>2040</v>
      </c>
      <c r="U7" s="664">
        <v>2045</v>
      </c>
      <c r="V7" s="664">
        <v>2050</v>
      </c>
    </row>
    <row r="8" spans="1:22" x14ac:dyDescent="0.25">
      <c r="A8" s="667" t="s">
        <v>237</v>
      </c>
      <c r="B8" s="667" t="s">
        <v>1237</v>
      </c>
      <c r="C8" s="667">
        <v>2020</v>
      </c>
      <c r="D8" s="667" t="s">
        <v>1226</v>
      </c>
      <c r="E8" s="668">
        <v>43020.603999999999</v>
      </c>
      <c r="G8" s="674" t="s">
        <v>1237</v>
      </c>
      <c r="H8" s="675"/>
      <c r="I8" s="675"/>
      <c r="J8" s="675"/>
      <c r="K8" s="675"/>
      <c r="L8" s="675"/>
    </row>
    <row r="9" spans="1:22" x14ac:dyDescent="0.25">
      <c r="A9" s="667" t="s">
        <v>237</v>
      </c>
      <c r="B9" s="667" t="s">
        <v>1237</v>
      </c>
      <c r="C9" s="667">
        <v>2025</v>
      </c>
      <c r="D9" s="667" t="s">
        <v>1226</v>
      </c>
      <c r="E9" s="668">
        <v>44383.745321968199</v>
      </c>
      <c r="G9" s="676" t="s">
        <v>1117</v>
      </c>
      <c r="H9" s="675"/>
      <c r="I9" s="675">
        <v>72232.889528891203</v>
      </c>
      <c r="J9" s="675">
        <v>55751.407358742297</v>
      </c>
      <c r="K9" s="675">
        <v>47384.134484041402</v>
      </c>
      <c r="L9" s="675">
        <v>44847.297467261997</v>
      </c>
      <c r="M9" s="664" t="s">
        <v>1237</v>
      </c>
      <c r="N9" s="664" t="s">
        <v>1117</v>
      </c>
      <c r="O9" s="677">
        <f>_xlfn.FORECAST.LINEAR($O$7,Q9:R9,$Q$7:$R$7)*(1+$R$6)</f>
        <v>1614747.2011580502</v>
      </c>
      <c r="P9" s="677">
        <f>_xlfn.FORECAST.LINEAR($P$7,Q9:R9,$Q$7:$R$7)*(1+$R$6)</f>
        <v>1374755.1755550827</v>
      </c>
      <c r="Q9" s="675">
        <f>I9*$R$5*(1+$R$6)</f>
        <v>1228745.0179012497</v>
      </c>
      <c r="R9" s="675">
        <f>J9*$R$5*(1+$R$6)</f>
        <v>948380.50200993021</v>
      </c>
      <c r="S9" s="677">
        <f>_xlfn.FORECAST.LINEAR(S$7,J9:K9,$J$7:$K$7)*$R$5*(1+$R$6)</f>
        <v>877213.16449052596</v>
      </c>
      <c r="T9" s="675">
        <f>K9*$R$5*(1+$R$6)</f>
        <v>806045.8269711202</v>
      </c>
      <c r="U9" s="677">
        <f>_xlfn.FORECAST.LINEAR(U$7,K9:L9,$K$7:$L$7)*$R$5*(1+$R$6)</f>
        <v>784468.91189873882</v>
      </c>
      <c r="V9" s="675">
        <f>L9*$R$5*(1+$R$6)</f>
        <v>762891.99682635767</v>
      </c>
    </row>
    <row r="10" spans="1:22" x14ac:dyDescent="0.25">
      <c r="A10" s="667" t="s">
        <v>237</v>
      </c>
      <c r="B10" s="667" t="s">
        <v>1237</v>
      </c>
      <c r="C10" s="667">
        <v>2025</v>
      </c>
      <c r="D10" s="667" t="s">
        <v>1229</v>
      </c>
      <c r="E10" s="668">
        <v>44270.562265589797</v>
      </c>
      <c r="G10" s="676" t="s">
        <v>237</v>
      </c>
      <c r="H10" s="675">
        <v>43020.603999999999</v>
      </c>
      <c r="I10" s="675">
        <v>44383.745321968199</v>
      </c>
      <c r="J10" s="675">
        <v>44843.888204688497</v>
      </c>
      <c r="K10" s="675">
        <v>45482.427759856801</v>
      </c>
      <c r="L10" s="675">
        <v>45038.640855104401</v>
      </c>
      <c r="M10" s="664" t="s">
        <v>1237</v>
      </c>
      <c r="N10" s="664" t="s">
        <v>1111</v>
      </c>
      <c r="O10" s="675">
        <f>H10*$R$5</f>
        <v>683942.36766876688</v>
      </c>
      <c r="P10" s="677">
        <f>_xlfn.FORECAST.LINEAR(P$7,I10:J10,$I$7:$J$7)*$R$5</f>
        <v>704150.54188871407</v>
      </c>
      <c r="Q10" s="675">
        <f>I10*$R$5</f>
        <v>705613.61392123846</v>
      </c>
      <c r="R10" s="675">
        <f>J10*$R$5</f>
        <v>712928.9740838632</v>
      </c>
      <c r="S10" s="677">
        <f>_xlfn.FORECAST.LINEAR(S$7,J10:K10,$J$7:$K$7)*$R$5</f>
        <v>718004.73098411458</v>
      </c>
      <c r="T10" s="675">
        <f>K10*$R$5</f>
        <v>723080.48788436607</v>
      </c>
      <c r="U10" s="677">
        <f t="shared" ref="U10" si="0">_xlfn.FORECAST.LINEAR(U$7,K10:L10,$K$7:$L$7)*$R$5</f>
        <v>719552.8216249994</v>
      </c>
      <c r="V10" s="675">
        <f>L10*$R$5</f>
        <v>716025.15536563273</v>
      </c>
    </row>
    <row r="11" spans="1:22" x14ac:dyDescent="0.25">
      <c r="A11" s="667" t="s">
        <v>1117</v>
      </c>
      <c r="B11" s="667" t="s">
        <v>1237</v>
      </c>
      <c r="C11" s="667">
        <v>2025</v>
      </c>
      <c r="D11" s="667" t="s">
        <v>1226</v>
      </c>
      <c r="E11" s="668">
        <v>72232.889528891203</v>
      </c>
      <c r="G11" s="676" t="s">
        <v>1238</v>
      </c>
      <c r="H11" s="675"/>
      <c r="I11" s="675">
        <v>64737.898672643802</v>
      </c>
      <c r="J11" s="675">
        <v>59640.0801817998</v>
      </c>
      <c r="K11" s="675">
        <v>51583.510230305903</v>
      </c>
      <c r="L11" s="675">
        <v>49792.084496843498</v>
      </c>
      <c r="M11" s="664" t="s">
        <v>1237</v>
      </c>
      <c r="N11" s="664" t="s">
        <v>1116</v>
      </c>
      <c r="O11" s="677">
        <f>_xlfn.FORECAST.LINEAR($O$7,Q11:R11,$Q$7:$R$7)*(1+$R$6)</f>
        <v>1271124.6968322673</v>
      </c>
      <c r="P11" s="677">
        <f>_xlfn.FORECAST.LINEAR($P$7,Q11:R11,$Q$7:$R$7)*(1+$R$6)</f>
        <v>1196893.7646173309</v>
      </c>
      <c r="Q11" s="675">
        <f>I11*$R$5*(1+$R$6)</f>
        <v>1101248.6276295315</v>
      </c>
      <c r="R11" s="675">
        <f>J11*$R$5*(1+$R$6)</f>
        <v>1014530.2488737706</v>
      </c>
      <c r="S11" s="677">
        <f>_xlfn.FORECAST.LINEAR(S$7,J11:K11,$J$7:$K$7)*$R$5*(1+$R$6)</f>
        <v>946005.57642998523</v>
      </c>
      <c r="T11" s="675">
        <f>K11*$R$5*(1+$R$6)</f>
        <v>877480.9039861965</v>
      </c>
      <c r="U11" s="677">
        <f>_xlfn.FORECAST.LINEAR(U$7,K11:L11,$K$7:$L$7)*$R$5*(1+$R$6)</f>
        <v>862244.03987008287</v>
      </c>
      <c r="V11" s="675">
        <f>L11*$R$5*(1+$R$6)</f>
        <v>847007.17575396795</v>
      </c>
    </row>
    <row r="12" spans="1:22" x14ac:dyDescent="0.25">
      <c r="A12" s="667" t="s">
        <v>1117</v>
      </c>
      <c r="B12" s="667" t="s">
        <v>1237</v>
      </c>
      <c r="C12" s="667">
        <v>2025</v>
      </c>
      <c r="D12" s="667" t="s">
        <v>1229</v>
      </c>
      <c r="E12" s="668">
        <v>68314.314574006203</v>
      </c>
      <c r="G12" s="676" t="s">
        <v>1219</v>
      </c>
      <c r="H12" s="675"/>
      <c r="I12" s="675">
        <v>46143.569462838699</v>
      </c>
      <c r="J12" s="675">
        <v>46708.631380952298</v>
      </c>
      <c r="K12" s="675">
        <v>46003.298768790701</v>
      </c>
      <c r="L12" s="675">
        <v>47114.940102385001</v>
      </c>
      <c r="M12" s="664" t="s">
        <v>1237</v>
      </c>
      <c r="N12" s="664" t="s">
        <v>1219</v>
      </c>
      <c r="O12" s="677">
        <f>_xlfn.FORECAST.LINEAR($O$7,P12:R12,$P$7:$R$7)*(1+$R$6)</f>
        <v>891089.69673412514</v>
      </c>
      <c r="P12" s="677">
        <f>_xlfn.FORECAST.LINEAR($P$7,Q12:R12,$Q$7:$R$7)*(1+$R$6)</f>
        <v>837831.70401706221</v>
      </c>
      <c r="Q12" s="675">
        <f>I12*$R$5*(1+$R$6)</f>
        <v>784942.72422765754</v>
      </c>
      <c r="R12" s="675">
        <f>J12*$R$5*(1+$R$6)</f>
        <v>794554.92472546676</v>
      </c>
      <c r="S12" s="677">
        <f>_xlfn.FORECAST.LINEAR(S$7,J12:K12,$J$7:$K$7)*$R$5*(1+$R$6)</f>
        <v>788555.76050256658</v>
      </c>
      <c r="T12" s="675">
        <f>K12*$R$5*(1+$R$6)</f>
        <v>782556.59627966653</v>
      </c>
      <c r="U12" s="677">
        <f>_xlfn.FORECAST.LINEAR(U$7,K12:L12,$K$7:$L$7)*$R$5*(1+$R$6)</f>
        <v>792011.59496001713</v>
      </c>
      <c r="V12" s="675">
        <f>L12*$R$5*(1+$R$6)</f>
        <v>801466.59364036703</v>
      </c>
    </row>
    <row r="13" spans="1:22" x14ac:dyDescent="0.25">
      <c r="A13" s="667" t="s">
        <v>1219</v>
      </c>
      <c r="B13" s="667" t="s">
        <v>1237</v>
      </c>
      <c r="C13" s="667">
        <v>2025</v>
      </c>
      <c r="D13" s="667" t="s">
        <v>1226</v>
      </c>
      <c r="E13" s="668">
        <v>46143.569462838699</v>
      </c>
      <c r="G13" s="674" t="s">
        <v>1228</v>
      </c>
      <c r="H13" s="675"/>
      <c r="I13" s="675"/>
      <c r="J13" s="675"/>
      <c r="K13" s="675"/>
      <c r="L13" s="675"/>
      <c r="O13" s="675"/>
      <c r="P13" s="675"/>
      <c r="Q13" s="675"/>
      <c r="R13" s="675"/>
      <c r="S13" s="677"/>
      <c r="T13" s="675"/>
      <c r="U13" s="677"/>
      <c r="V13" s="675"/>
    </row>
    <row r="14" spans="1:22" x14ac:dyDescent="0.25">
      <c r="A14" s="667" t="s">
        <v>1219</v>
      </c>
      <c r="B14" s="667" t="s">
        <v>1237</v>
      </c>
      <c r="C14" s="667">
        <v>2025</v>
      </c>
      <c r="D14" s="667" t="s">
        <v>1229</v>
      </c>
      <c r="E14" s="668">
        <v>45702.990415414097</v>
      </c>
      <c r="G14" s="676" t="s">
        <v>1117</v>
      </c>
      <c r="H14" s="675"/>
      <c r="I14" s="675">
        <v>111239.99801395601</v>
      </c>
      <c r="J14" s="675">
        <v>91468.298502517398</v>
      </c>
      <c r="K14" s="675">
        <v>82614.388557329294</v>
      </c>
      <c r="L14" s="675">
        <v>79633.5895992687</v>
      </c>
      <c r="M14" s="664" t="s">
        <v>1228</v>
      </c>
      <c r="N14" s="664" t="s">
        <v>1117</v>
      </c>
      <c r="O14" s="677">
        <f>_xlfn.FORECAST.LINEAR($O$7,Q14:R14,$Q$7:$R$7)*(1+$R$6)</f>
        <v>2384627.9677860192</v>
      </c>
      <c r="P14" s="677">
        <f>_xlfn.FORECAST.LINEAR($P$7,Q14:R14,$Q$7:$R$7)*(1+$R$6)</f>
        <v>2096726.0566364424</v>
      </c>
      <c r="Q14" s="675">
        <f>I14*$R$5*(1+$R$6)</f>
        <v>1892290.2606066011</v>
      </c>
      <c r="R14" s="675">
        <f>J14*$R$5*(1+$R$6)</f>
        <v>1555956.2522543021</v>
      </c>
      <c r="S14" s="677">
        <f>_xlfn.FORECAST.LINEAR(S$7,J14:K14,$J$7:$K$7)*$R$5*(1+$R$6)</f>
        <v>1480649.852323113</v>
      </c>
      <c r="T14" s="675">
        <f>K14*$R$5*(1+$R$6)</f>
        <v>1405343.4523919236</v>
      </c>
      <c r="U14" s="677">
        <f>_xlfn.FORECAST.LINEAR(U$7,K14:L14,$K$7:$L$7)*$R$5*(1+$R$6)</f>
        <v>1379990.4456593245</v>
      </c>
      <c r="V14" s="675">
        <f>L14*$R$5*(1+$R$6)</f>
        <v>1354637.4389267245</v>
      </c>
    </row>
    <row r="15" spans="1:22" x14ac:dyDescent="0.25">
      <c r="A15" s="667" t="s">
        <v>237</v>
      </c>
      <c r="B15" s="667" t="s">
        <v>1225</v>
      </c>
      <c r="C15" s="667">
        <v>2025</v>
      </c>
      <c r="D15" s="667" t="s">
        <v>1226</v>
      </c>
      <c r="E15" s="668">
        <v>124758.767467543</v>
      </c>
      <c r="G15" s="676" t="s">
        <v>237</v>
      </c>
      <c r="H15" s="675">
        <v>77800.603999999905</v>
      </c>
      <c r="I15" s="675">
        <v>79211.135921093199</v>
      </c>
      <c r="J15" s="675">
        <v>79796.522191987606</v>
      </c>
      <c r="K15" s="675">
        <v>80531.279866715602</v>
      </c>
      <c r="L15" s="675">
        <v>81352.868838823793</v>
      </c>
      <c r="M15" s="664" t="s">
        <v>1228</v>
      </c>
      <c r="N15" s="664" t="s">
        <v>1111</v>
      </c>
      <c r="O15" s="675">
        <f>H15*$R$5</f>
        <v>1236875.4586946308</v>
      </c>
      <c r="P15" s="677">
        <f>_xlfn.FORECAST.LINEAR(P$7,I15:J15,$I$7:$J$7)*$R$5</f>
        <v>1257438.825200635</v>
      </c>
      <c r="Q15" s="675">
        <f>I15*$R$5</f>
        <v>1259300.1215790692</v>
      </c>
      <c r="R15" s="675">
        <f>J15*$R$5</f>
        <v>1268606.6034712414</v>
      </c>
      <c r="S15" s="677">
        <f>_xlfn.FORECAST.LINEAR(S$7,J15:K15,$J$7:$K$7)*$R$5</f>
        <v>1274447.1991043973</v>
      </c>
      <c r="T15" s="675">
        <f>K15*$R$5</f>
        <v>1280287.7947375535</v>
      </c>
      <c r="U15" s="677">
        <f t="shared" ref="U15" si="1">_xlfn.FORECAST.LINEAR(U$7,K15:L15,$K$7:$L$7)*$R$5</f>
        <v>1286818.6131662561</v>
      </c>
      <c r="V15" s="675">
        <f>L15*$R$5</f>
        <v>1293349.4315949583</v>
      </c>
    </row>
    <row r="16" spans="1:22" x14ac:dyDescent="0.25">
      <c r="A16" s="667" t="s">
        <v>237</v>
      </c>
      <c r="B16" s="667" t="s">
        <v>1225</v>
      </c>
      <c r="C16" s="667">
        <v>2025</v>
      </c>
      <c r="D16" s="667" t="s">
        <v>1229</v>
      </c>
      <c r="E16" s="668">
        <v>125527.60867916299</v>
      </c>
      <c r="G16" s="676" t="s">
        <v>1238</v>
      </c>
      <c r="H16" s="675"/>
      <c r="I16" s="675">
        <v>108917.08759559</v>
      </c>
      <c r="J16" s="675">
        <v>102263.236672406</v>
      </c>
      <c r="K16" s="675">
        <v>91881.970035619801</v>
      </c>
      <c r="L16" s="675">
        <v>90380.630136863998</v>
      </c>
      <c r="M16" s="664" t="s">
        <v>1228</v>
      </c>
      <c r="N16" s="664" t="s">
        <v>1116</v>
      </c>
      <c r="O16" s="677">
        <f>_xlfn.FORECAST.LINEAR($O$7,Q16:R16,$Q$7:$R$7)*(1+$R$6)</f>
        <v>2103580.8058416173</v>
      </c>
      <c r="P16" s="677">
        <f>_xlfn.FORECAST.LINEAR($P$7,Q16:R16,$Q$7:$R$7)*(1+$R$6)</f>
        <v>2006691.9978673332</v>
      </c>
      <c r="Q16" s="675">
        <f>I16*$R$5*(1+$R$6)</f>
        <v>1852775.5101623938</v>
      </c>
      <c r="R16" s="675">
        <f>J16*$R$5*(1+$R$6)</f>
        <v>1739587.6503793534</v>
      </c>
      <c r="S16" s="677">
        <f>_xlfn.FORECAST.LINEAR(S$7,J16:K16,$J$7:$K$7)*$R$5*(1+$R$6)</f>
        <v>1651290.4097272744</v>
      </c>
      <c r="T16" s="675">
        <f>K16*$R$5*(1+$R$6)</f>
        <v>1562993.1690751896</v>
      </c>
      <c r="U16" s="677">
        <f>_xlfn.FORECAST.LINEAR(U$7,K16:L16,$K$7:$L$7)*$R$5*(1+$R$6)</f>
        <v>1550223.6126251831</v>
      </c>
      <c r="V16" s="675">
        <f>L16*$R$5*(1+$R$6)</f>
        <v>1537454.0561751763</v>
      </c>
    </row>
    <row r="17" spans="1:22" x14ac:dyDescent="0.25">
      <c r="A17" s="667" t="s">
        <v>1117</v>
      </c>
      <c r="B17" s="667" t="s">
        <v>1225</v>
      </c>
      <c r="C17" s="667">
        <v>2025</v>
      </c>
      <c r="D17" s="667" t="s">
        <v>1226</v>
      </c>
      <c r="E17" s="668">
        <v>172334.08657541801</v>
      </c>
      <c r="G17" s="676" t="s">
        <v>1219</v>
      </c>
      <c r="H17" s="675"/>
      <c r="I17" s="675">
        <v>81194.807277311396</v>
      </c>
      <c r="J17" s="675">
        <v>82351.234013170804</v>
      </c>
      <c r="K17" s="675">
        <v>84925.888451620398</v>
      </c>
      <c r="L17" s="675">
        <v>82975.583531581302</v>
      </c>
      <c r="M17" s="664" t="s">
        <v>1228</v>
      </c>
      <c r="N17" s="664" t="s">
        <v>1219</v>
      </c>
      <c r="O17" s="677">
        <f>_xlfn.FORECAST.LINEAR($O$7,P17:R17,$P$7:$R$7)*(1+$R$6)</f>
        <v>1564978.2096642565</v>
      </c>
      <c r="P17" s="677">
        <f>_xlfn.FORECAST.LINEAR($P$7,Q17:R17,$Q$7:$R$7)*(1+$R$6)</f>
        <v>1473669.0113311792</v>
      </c>
      <c r="Q17" s="675">
        <f>I17*$R$5*(1+$R$6)</f>
        <v>1381195.1255465716</v>
      </c>
      <c r="R17" s="675">
        <f>J17*$R$5*(1+$R$6)</f>
        <v>1400866.9620122402</v>
      </c>
      <c r="S17" s="677">
        <f>_xlfn.FORECAST.LINEAR(S$7,J17:K17,$J$7:$K$7)*$R$5*(1+$R$6)</f>
        <v>1422765.530896134</v>
      </c>
      <c r="T17" s="675">
        <f>K17*$R$5*(1+$R$6)</f>
        <v>1444664.0997800285</v>
      </c>
      <c r="U17" s="677">
        <f>_xlfn.FORECAST.LINEAR(U$7,K17:L17,$K$7:$L$7)*$R$5*(1+$R$6)</f>
        <v>1428075.8982729584</v>
      </c>
      <c r="V17" s="675">
        <f>L17*$R$5*(1+$R$6)</f>
        <v>1411487.6967658885</v>
      </c>
    </row>
    <row r="18" spans="1:22" x14ac:dyDescent="0.25">
      <c r="A18" s="667" t="s">
        <v>1117</v>
      </c>
      <c r="B18" s="667" t="s">
        <v>1225</v>
      </c>
      <c r="C18" s="667">
        <v>2025</v>
      </c>
      <c r="D18" s="667" t="s">
        <v>1229</v>
      </c>
      <c r="E18" s="668">
        <v>164958.58272517601</v>
      </c>
      <c r="G18" s="674" t="s">
        <v>1225</v>
      </c>
      <c r="H18" s="675"/>
      <c r="I18" s="675"/>
      <c r="J18" s="675"/>
      <c r="K18" s="675"/>
      <c r="L18" s="675"/>
      <c r="O18" s="675"/>
      <c r="P18" s="675"/>
      <c r="Q18" s="675"/>
      <c r="R18" s="675"/>
      <c r="S18" s="677"/>
      <c r="T18" s="675"/>
      <c r="U18" s="677"/>
      <c r="V18" s="675"/>
    </row>
    <row r="19" spans="1:22" x14ac:dyDescent="0.25">
      <c r="A19" s="667" t="s">
        <v>1219</v>
      </c>
      <c r="B19" s="667" t="s">
        <v>1225</v>
      </c>
      <c r="C19" s="667">
        <v>2025</v>
      </c>
      <c r="D19" s="667" t="s">
        <v>1226</v>
      </c>
      <c r="E19" s="668">
        <v>128787.73940458101</v>
      </c>
      <c r="G19" s="676" t="s">
        <v>1117</v>
      </c>
      <c r="H19" s="675"/>
      <c r="I19" s="675">
        <v>172334.08657541801</v>
      </c>
      <c r="J19" s="675">
        <v>143582.026082586</v>
      </c>
      <c r="K19" s="675">
        <v>130519.199271814</v>
      </c>
      <c r="L19" s="675">
        <v>127308.349858645</v>
      </c>
      <c r="M19" s="664" t="s">
        <v>1225</v>
      </c>
      <c r="N19" s="664" t="s">
        <v>1117</v>
      </c>
      <c r="O19" s="677">
        <f>_xlfn.FORECAST.LINEAR($O$7,Q19:R19,$Q$7:$R$7)*(1+$R$6)</f>
        <v>3660097.9858331708</v>
      </c>
      <c r="P19" s="677">
        <f>_xlfn.FORECAST.LINEAR($P$7,Q19:R19,$Q$7:$R$7)*(1+$R$6)</f>
        <v>3241430.2248455421</v>
      </c>
      <c r="Q19" s="675">
        <f>I19*$R$5*(1+$R$6)</f>
        <v>2931554.4715875085</v>
      </c>
      <c r="R19" s="675">
        <f>J19*$R$5*(1+$R$6)</f>
        <v>2442456.6199664399</v>
      </c>
      <c r="S19" s="677">
        <f>_xlfn.FORECAST.LINEAR(S$7,J19:K19,$J$7:$K$7)*$R$5*(1+$R$6)</f>
        <v>2331351.5301096672</v>
      </c>
      <c r="T19" s="675">
        <f>K19*$R$5*(1+$R$6)</f>
        <v>2220246.4402529029</v>
      </c>
      <c r="U19" s="677">
        <f>_xlfn.FORECAST.LINEAR(U$7,K19:L19,$K$7:$L$7)*$R$5*(1+$R$6)</f>
        <v>2192936.7531741075</v>
      </c>
      <c r="V19" s="675">
        <f>L19*$R$5*(1+$R$6)</f>
        <v>2165627.0660953103</v>
      </c>
    </row>
    <row r="20" spans="1:22" x14ac:dyDescent="0.25">
      <c r="A20" s="667" t="s">
        <v>1219</v>
      </c>
      <c r="B20" s="667" t="s">
        <v>1225</v>
      </c>
      <c r="C20" s="667">
        <v>2025</v>
      </c>
      <c r="D20" s="667" t="s">
        <v>1229</v>
      </c>
      <c r="E20" s="668">
        <v>129489.027655634</v>
      </c>
      <c r="G20" s="676" t="s">
        <v>237</v>
      </c>
      <c r="H20" s="675">
        <v>122633.16</v>
      </c>
      <c r="I20" s="675">
        <v>124758.767467543</v>
      </c>
      <c r="J20" s="675">
        <v>125181.823979295</v>
      </c>
      <c r="K20" s="675">
        <v>126409.26072325101</v>
      </c>
      <c r="L20" s="675">
        <v>128098.60233972099</v>
      </c>
      <c r="M20" s="664" t="s">
        <v>1225</v>
      </c>
      <c r="N20" s="664" t="s">
        <v>1111</v>
      </c>
      <c r="O20" s="675">
        <f>H20*$R$5</f>
        <v>1949624.2731762372</v>
      </c>
      <c r="P20" s="677">
        <f>_xlfn.FORECAST.LINEAR(P$7,I20:J20,$I$7:$J$7)*$R$5</f>
        <v>1982072.0684146467</v>
      </c>
      <c r="Q20" s="675">
        <f>I20*$R$5</f>
        <v>1983417.2204832013</v>
      </c>
      <c r="R20" s="675">
        <f>J20*$R$5</f>
        <v>1990142.9808259746</v>
      </c>
      <c r="S20" s="677">
        <f>_xlfn.FORECAST.LINEAR(S$7,J20:K20,$J$7:$K$7)*$R$5</f>
        <v>1999899.8869915053</v>
      </c>
      <c r="T20" s="675">
        <f>K20*$R$5</f>
        <v>2009656.793157036</v>
      </c>
      <c r="U20" s="677">
        <f t="shared" ref="U20" si="2">_xlfn.FORECAST.LINEAR(U$7,K20:L20,$K$7:$L$7)*$R$5</f>
        <v>2023085.3854772397</v>
      </c>
      <c r="V20" s="675">
        <f>L20*$R$5</f>
        <v>2036513.9777974437</v>
      </c>
    </row>
    <row r="21" spans="1:22" x14ac:dyDescent="0.25">
      <c r="A21" s="667" t="s">
        <v>1219</v>
      </c>
      <c r="B21" s="667" t="s">
        <v>1228</v>
      </c>
      <c r="C21" s="667">
        <v>2025</v>
      </c>
      <c r="D21" s="667" t="s">
        <v>1226</v>
      </c>
      <c r="E21" s="668">
        <v>81194.807277311396</v>
      </c>
      <c r="G21" s="676" t="s">
        <v>1238</v>
      </c>
      <c r="H21" s="675"/>
      <c r="I21" s="675">
        <v>184142.539387792</v>
      </c>
      <c r="J21" s="675">
        <v>171546.76245373301</v>
      </c>
      <c r="K21" s="675">
        <v>153933.62904962699</v>
      </c>
      <c r="L21" s="675">
        <v>150623.84071644401</v>
      </c>
      <c r="M21" s="664" t="s">
        <v>1225</v>
      </c>
      <c r="N21" s="664" t="s">
        <v>1116</v>
      </c>
      <c r="O21" s="677">
        <f>_xlfn.FORECAST.LINEAR($O$7,Q21:R21,$Q$7:$R$7)*(1+$R$6)</f>
        <v>3580960.3287163149</v>
      </c>
      <c r="P21" s="677">
        <f>_xlfn.FORECAST.LINEAR($P$7,Q21:R21,$Q$7:$R$7)*(1+$R$6)</f>
        <v>3397549.2744652056</v>
      </c>
      <c r="Q21" s="675">
        <f>I21*$R$5*(1+$R$6)</f>
        <v>3132426.6457031942</v>
      </c>
      <c r="R21" s="675">
        <f>J21*$R$5*(1+$R$6)</f>
        <v>2918161.3954098346</v>
      </c>
      <c r="S21" s="677">
        <f>_xlfn.FORECAST.LINEAR(S$7,J21:K21,$J$7:$K$7)*$R$5*(1+$R$6)</f>
        <v>2768353.9457765967</v>
      </c>
      <c r="T21" s="675">
        <f>K21*$R$5*(1+$R$6)</f>
        <v>2618546.4961433574</v>
      </c>
      <c r="U21" s="677">
        <f>_xlfn.FORECAST.LINEAR(U$7,K21:L21,$K$7:$L$7)*$R$5*(1+$R$6)</f>
        <v>2590395.2900152984</v>
      </c>
      <c r="V21" s="675">
        <f>L21*$R$5*(1+$R$6)</f>
        <v>2562244.0838872395</v>
      </c>
    </row>
    <row r="22" spans="1:22" x14ac:dyDescent="0.25">
      <c r="A22" s="667" t="s">
        <v>1219</v>
      </c>
      <c r="B22" s="667" t="s">
        <v>1228</v>
      </c>
      <c r="C22" s="667">
        <v>2025</v>
      </c>
      <c r="D22" s="667" t="s">
        <v>1229</v>
      </c>
      <c r="E22" s="668">
        <v>81790.147897985604</v>
      </c>
      <c r="G22" s="676" t="s">
        <v>1219</v>
      </c>
      <c r="H22" s="675"/>
      <c r="I22" s="675">
        <v>128787.73940458101</v>
      </c>
      <c r="J22" s="675">
        <v>129012.713402155</v>
      </c>
      <c r="K22" s="675">
        <v>133439.88043997699</v>
      </c>
      <c r="L22" s="675">
        <v>128550.24307368101</v>
      </c>
      <c r="M22" s="664" t="s">
        <v>1225</v>
      </c>
      <c r="N22" s="664" t="s">
        <v>1219</v>
      </c>
      <c r="O22" s="677">
        <f>_xlfn.FORECAST.LINEAR($O$7,P22:R22,$P$7:$R$7)*(1+$R$6)</f>
        <v>2512023.5170913716</v>
      </c>
      <c r="P22" s="677">
        <f>_xlfn.FORECAST.LINEAR($P$7,Q22:R22,$Q$7:$R$7)*(1+$R$6)</f>
        <v>2343329.2998532895</v>
      </c>
      <c r="Q22" s="675">
        <f>I22*$R$5*(1+$R$6)</f>
        <v>2190792.7841769187</v>
      </c>
      <c r="R22" s="675">
        <f>J22*$R$5*(1+$R$6)</f>
        <v>2194619.7898592236</v>
      </c>
      <c r="S22" s="677">
        <f>_xlfn.FORECAST.LINEAR(S$7,J22:K22,$J$7:$K$7)*$R$5*(1+$R$6)</f>
        <v>2232274.793532894</v>
      </c>
      <c r="T22" s="675">
        <f>K22*$R$5*(1+$R$6)</f>
        <v>2269929.7972065639</v>
      </c>
      <c r="U22" s="677">
        <f>_xlfn.FORECAST.LINEAR(U$7,K22:L22,$K$7:$L$7)*$R$5*(1+$R$6)</f>
        <v>2228341.2798956437</v>
      </c>
      <c r="V22" s="675">
        <f>L22*$R$5*(1+$R$6)</f>
        <v>2186752.7625847259</v>
      </c>
    </row>
    <row r="23" spans="1:22" x14ac:dyDescent="0.25">
      <c r="A23" s="667" t="s">
        <v>237</v>
      </c>
      <c r="B23" s="667" t="s">
        <v>1237</v>
      </c>
      <c r="C23" s="667">
        <v>2030</v>
      </c>
      <c r="D23" s="667" t="s">
        <v>1226</v>
      </c>
      <c r="E23" s="668">
        <v>44843.888204688497</v>
      </c>
    </row>
    <row r="24" spans="1:22" x14ac:dyDescent="0.25">
      <c r="A24" s="667" t="s">
        <v>237</v>
      </c>
      <c r="B24" s="667" t="s">
        <v>1237</v>
      </c>
      <c r="C24" s="667">
        <v>2030</v>
      </c>
      <c r="D24" s="667" t="s">
        <v>1229</v>
      </c>
      <c r="E24" s="668">
        <v>45504.899061943201</v>
      </c>
      <c r="M24" s="664" t="s">
        <v>1237</v>
      </c>
      <c r="N24" s="664" t="s">
        <v>1117</v>
      </c>
      <c r="O24" s="664">
        <f t="shared" ref="O24:V27" si="3">O9/$P9</f>
        <v>1.1745707380269117</v>
      </c>
      <c r="P24" s="664">
        <f t="shared" si="3"/>
        <v>1</v>
      </c>
      <c r="Q24" s="664">
        <f t="shared" si="3"/>
        <v>0.89379188363856954</v>
      </c>
      <c r="R24" s="664">
        <f t="shared" si="3"/>
        <v>0.68985410556974558</v>
      </c>
      <c r="S24" s="664">
        <f t="shared" si="3"/>
        <v>0.63808682454047494</v>
      </c>
      <c r="T24" s="664">
        <f t="shared" si="3"/>
        <v>0.5863195435112033</v>
      </c>
      <c r="U24" s="664">
        <f t="shared" si="3"/>
        <v>0.57062444706345261</v>
      </c>
      <c r="V24" s="664">
        <f t="shared" si="3"/>
        <v>0.55492935061570214</v>
      </c>
    </row>
    <row r="25" spans="1:22" x14ac:dyDescent="0.25">
      <c r="A25" s="667" t="s">
        <v>1117</v>
      </c>
      <c r="B25" s="667" t="s">
        <v>1237</v>
      </c>
      <c r="C25" s="667">
        <v>2030</v>
      </c>
      <c r="D25" s="667" t="s">
        <v>1226</v>
      </c>
      <c r="E25" s="668">
        <v>55751.407358742297</v>
      </c>
      <c r="M25" s="664" t="s">
        <v>1237</v>
      </c>
      <c r="N25" s="664" t="s">
        <v>1111</v>
      </c>
      <c r="O25" s="664">
        <f t="shared" si="3"/>
        <v>0.97130134393457446</v>
      </c>
      <c r="P25" s="664">
        <f t="shared" si="3"/>
        <v>1</v>
      </c>
      <c r="Q25" s="664">
        <f t="shared" si="3"/>
        <v>1.0020777830101502</v>
      </c>
      <c r="R25" s="664">
        <f t="shared" si="3"/>
        <v>1.0124666980609049</v>
      </c>
      <c r="S25" s="664">
        <f t="shared" si="3"/>
        <v>1.019675038605012</v>
      </c>
      <c r="T25" s="664">
        <f t="shared" si="3"/>
        <v>1.0268833791491192</v>
      </c>
      <c r="U25" s="664">
        <f t="shared" si="3"/>
        <v>1.021873560865227</v>
      </c>
      <c r="V25" s="664">
        <f t="shared" si="3"/>
        <v>1.0168637425813347</v>
      </c>
    </row>
    <row r="26" spans="1:22" x14ac:dyDescent="0.25">
      <c r="A26" s="667" t="s">
        <v>1117</v>
      </c>
      <c r="B26" s="667" t="s">
        <v>1237</v>
      </c>
      <c r="C26" s="667">
        <v>2030</v>
      </c>
      <c r="D26" s="667" t="s">
        <v>1229</v>
      </c>
      <c r="E26" s="668">
        <v>47174.182558743101</v>
      </c>
      <c r="M26" s="664" t="s">
        <v>1237</v>
      </c>
      <c r="N26" s="664" t="s">
        <v>1116</v>
      </c>
      <c r="O26" s="664">
        <f t="shared" si="3"/>
        <v>1.06201964987149</v>
      </c>
      <c r="P26" s="664">
        <f t="shared" si="3"/>
        <v>1</v>
      </c>
      <c r="Q26" s="664">
        <f t="shared" si="3"/>
        <v>0.92008886685245717</v>
      </c>
      <c r="R26" s="664">
        <f t="shared" si="3"/>
        <v>0.8476360048530579</v>
      </c>
      <c r="S26" s="664">
        <f t="shared" si="3"/>
        <v>0.79038391242053196</v>
      </c>
      <c r="T26" s="664">
        <f t="shared" si="3"/>
        <v>0.73313181998800325</v>
      </c>
      <c r="U26" s="664">
        <f t="shared" si="3"/>
        <v>0.7204014803651001</v>
      </c>
      <c r="V26" s="664">
        <f t="shared" si="3"/>
        <v>0.70767114074219595</v>
      </c>
    </row>
    <row r="27" spans="1:22" x14ac:dyDescent="0.25">
      <c r="A27" s="667" t="s">
        <v>1219</v>
      </c>
      <c r="B27" s="667" t="s">
        <v>1237</v>
      </c>
      <c r="C27" s="667">
        <v>2030</v>
      </c>
      <c r="D27" s="667" t="s">
        <v>1226</v>
      </c>
      <c r="E27" s="668">
        <v>46708.631380952298</v>
      </c>
      <c r="M27" s="664" t="s">
        <v>1237</v>
      </c>
      <c r="N27" s="664" t="s">
        <v>1219</v>
      </c>
      <c r="O27" s="664">
        <f t="shared" si="3"/>
        <v>1.0635664566782477</v>
      </c>
      <c r="P27" s="664">
        <f t="shared" si="3"/>
        <v>1</v>
      </c>
      <c r="Q27" s="664">
        <f t="shared" si="3"/>
        <v>0.93687398133082866</v>
      </c>
      <c r="R27" s="664">
        <f t="shared" si="3"/>
        <v>0.94834669172328889</v>
      </c>
      <c r="S27" s="664">
        <f t="shared" si="3"/>
        <v>0.94118634652014532</v>
      </c>
      <c r="T27" s="664">
        <f t="shared" si="3"/>
        <v>0.93402600131700197</v>
      </c>
      <c r="U27" s="664">
        <f t="shared" si="3"/>
        <v>0.94531108236014905</v>
      </c>
      <c r="V27" s="664">
        <f t="shared" si="3"/>
        <v>0.95659616340329534</v>
      </c>
    </row>
    <row r="28" spans="1:22" x14ac:dyDescent="0.25">
      <c r="A28" s="667" t="s">
        <v>1219</v>
      </c>
      <c r="B28" s="667" t="s">
        <v>1237</v>
      </c>
      <c r="C28" s="667">
        <v>2030</v>
      </c>
      <c r="D28" s="667" t="s">
        <v>1229</v>
      </c>
      <c r="E28" s="668">
        <v>45688.191032342897</v>
      </c>
    </row>
    <row r="29" spans="1:22" x14ac:dyDescent="0.25">
      <c r="A29" s="667" t="s">
        <v>237</v>
      </c>
      <c r="B29" s="667" t="s">
        <v>1225</v>
      </c>
      <c r="C29" s="667">
        <v>2030</v>
      </c>
      <c r="D29" s="667" t="s">
        <v>1226</v>
      </c>
      <c r="E29" s="668">
        <v>125181.823979295</v>
      </c>
      <c r="M29" s="664" t="s">
        <v>1228</v>
      </c>
      <c r="N29" s="664" t="s">
        <v>1117</v>
      </c>
      <c r="O29" s="664">
        <f t="shared" ref="O29:V32" si="4">O14/$P14</f>
        <v>1.1373102176311136</v>
      </c>
      <c r="P29" s="664">
        <f t="shared" si="4"/>
        <v>1</v>
      </c>
      <c r="Q29" s="664">
        <f t="shared" si="4"/>
        <v>0.90249761270301754</v>
      </c>
      <c r="R29" s="664">
        <f t="shared" si="4"/>
        <v>0.74208847995639426</v>
      </c>
      <c r="S29" s="664">
        <f t="shared" si="4"/>
        <v>0.70617229543966475</v>
      </c>
      <c r="T29" s="664">
        <f t="shared" si="4"/>
        <v>0.67025611092293513</v>
      </c>
      <c r="U29" s="664">
        <f t="shared" si="4"/>
        <v>0.65816439934604443</v>
      </c>
      <c r="V29" s="664">
        <f t="shared" si="4"/>
        <v>0.64607268776915339</v>
      </c>
    </row>
    <row r="30" spans="1:22" x14ac:dyDescent="0.25">
      <c r="A30" s="667" t="s">
        <v>237</v>
      </c>
      <c r="B30" s="667" t="s">
        <v>1225</v>
      </c>
      <c r="C30" s="667">
        <v>2030</v>
      </c>
      <c r="D30" s="667" t="s">
        <v>1229</v>
      </c>
      <c r="E30" s="668">
        <v>126657.619435769</v>
      </c>
      <c r="M30" s="664" t="s">
        <v>1228</v>
      </c>
      <c r="N30" s="664" t="s">
        <v>1111</v>
      </c>
      <c r="O30" s="664">
        <f t="shared" si="4"/>
        <v>0.98364662670351122</v>
      </c>
      <c r="P30" s="664">
        <f t="shared" si="4"/>
        <v>1</v>
      </c>
      <c r="Q30" s="664">
        <f t="shared" si="4"/>
        <v>1.0014802281758217</v>
      </c>
      <c r="R30" s="664">
        <f t="shared" si="4"/>
        <v>1.0088813690549316</v>
      </c>
      <c r="S30" s="664">
        <f t="shared" si="4"/>
        <v>1.0135262038700359</v>
      </c>
      <c r="T30" s="664">
        <f t="shared" si="4"/>
        <v>1.0181710386851406</v>
      </c>
      <c r="U30" s="664">
        <f t="shared" si="4"/>
        <v>1.0233647851305476</v>
      </c>
      <c r="V30" s="664">
        <f t="shared" si="4"/>
        <v>1.0285585315759544</v>
      </c>
    </row>
    <row r="31" spans="1:22" x14ac:dyDescent="0.25">
      <c r="A31" s="667" t="s">
        <v>1117</v>
      </c>
      <c r="B31" s="667" t="s">
        <v>1225</v>
      </c>
      <c r="C31" s="667">
        <v>2030</v>
      </c>
      <c r="D31" s="667" t="s">
        <v>1226</v>
      </c>
      <c r="E31" s="668">
        <v>143582.026082586</v>
      </c>
      <c r="M31" s="664" t="s">
        <v>1228</v>
      </c>
      <c r="N31" s="664" t="s">
        <v>1116</v>
      </c>
      <c r="O31" s="664">
        <f t="shared" si="4"/>
        <v>1.0482828496237864</v>
      </c>
      <c r="P31" s="664">
        <f t="shared" si="4"/>
        <v>1</v>
      </c>
      <c r="Q31" s="664">
        <f t="shared" si="4"/>
        <v>0.92329839962061022</v>
      </c>
      <c r="R31" s="664">
        <f t="shared" si="4"/>
        <v>0.86689320146198212</v>
      </c>
      <c r="S31" s="664">
        <f t="shared" si="4"/>
        <v>0.82289180974570508</v>
      </c>
      <c r="T31" s="664">
        <f t="shared" si="4"/>
        <v>0.77889041802942516</v>
      </c>
      <c r="U31" s="664">
        <f t="shared" si="4"/>
        <v>0.77252693202181777</v>
      </c>
      <c r="V31" s="664">
        <f t="shared" si="4"/>
        <v>0.76616344601421027</v>
      </c>
    </row>
    <row r="32" spans="1:22" x14ac:dyDescent="0.25">
      <c r="A32" s="667" t="s">
        <v>1117</v>
      </c>
      <c r="B32" s="667" t="s">
        <v>1225</v>
      </c>
      <c r="C32" s="667">
        <v>2030</v>
      </c>
      <c r="D32" s="667" t="s">
        <v>1229</v>
      </c>
      <c r="E32" s="668">
        <v>129102.026621446</v>
      </c>
      <c r="M32" s="664" t="s">
        <v>1228</v>
      </c>
      <c r="N32" s="664" t="s">
        <v>1219</v>
      </c>
      <c r="O32" s="664">
        <f t="shared" si="4"/>
        <v>1.0619604521985551</v>
      </c>
      <c r="P32" s="664">
        <f t="shared" si="4"/>
        <v>1</v>
      </c>
      <c r="Q32" s="664">
        <f t="shared" si="4"/>
        <v>0.93724921602234479</v>
      </c>
      <c r="R32" s="664">
        <f t="shared" si="4"/>
        <v>0.95059809987238841</v>
      </c>
      <c r="S32" s="664">
        <f t="shared" si="4"/>
        <v>0.96545799630470375</v>
      </c>
      <c r="T32" s="664">
        <f t="shared" si="4"/>
        <v>0.98031789273701953</v>
      </c>
      <c r="U32" s="664">
        <f t="shared" si="4"/>
        <v>0.96906149704740274</v>
      </c>
      <c r="V32" s="664">
        <f t="shared" si="4"/>
        <v>0.95780510135778607</v>
      </c>
    </row>
    <row r="33" spans="1:22" x14ac:dyDescent="0.25">
      <c r="A33" s="667" t="s">
        <v>1219</v>
      </c>
      <c r="B33" s="667" t="s">
        <v>1225</v>
      </c>
      <c r="C33" s="667">
        <v>2030</v>
      </c>
      <c r="D33" s="667" t="s">
        <v>1226</v>
      </c>
      <c r="E33" s="668">
        <v>129012.713402155</v>
      </c>
    </row>
    <row r="34" spans="1:22" x14ac:dyDescent="0.25">
      <c r="A34" s="667" t="s">
        <v>1219</v>
      </c>
      <c r="B34" s="667" t="s">
        <v>1225</v>
      </c>
      <c r="C34" s="667">
        <v>2030</v>
      </c>
      <c r="D34" s="667" t="s">
        <v>1229</v>
      </c>
      <c r="E34" s="668">
        <v>129710.15176841601</v>
      </c>
      <c r="M34" s="664" t="s">
        <v>1225</v>
      </c>
      <c r="N34" s="664" t="s">
        <v>1117</v>
      </c>
      <c r="O34" s="664">
        <f t="shared" ref="O34:V37" si="5">O19/$P19</f>
        <v>1.1291614293525565</v>
      </c>
      <c r="P34" s="664">
        <f t="shared" si="5"/>
        <v>1</v>
      </c>
      <c r="Q34" s="664">
        <f t="shared" si="5"/>
        <v>0.90440153519800059</v>
      </c>
      <c r="R34" s="664">
        <f t="shared" si="5"/>
        <v>0.75351201492632025</v>
      </c>
      <c r="S34" s="664">
        <f t="shared" si="5"/>
        <v>0.71923545114125009</v>
      </c>
      <c r="T34" s="664">
        <f t="shared" si="5"/>
        <v>0.68495888735618249</v>
      </c>
      <c r="U34" s="664">
        <f t="shared" si="5"/>
        <v>0.67653369070395564</v>
      </c>
      <c r="V34" s="664">
        <f t="shared" si="5"/>
        <v>0.66810849405172834</v>
      </c>
    </row>
    <row r="35" spans="1:22" x14ac:dyDescent="0.25">
      <c r="A35" s="667" t="s">
        <v>237</v>
      </c>
      <c r="B35" s="667" t="s">
        <v>1228</v>
      </c>
      <c r="C35" s="667">
        <v>2030</v>
      </c>
      <c r="D35" s="667" t="s">
        <v>1226</v>
      </c>
      <c r="E35" s="668">
        <v>79796.522191987606</v>
      </c>
      <c r="M35" s="664" t="s">
        <v>1225</v>
      </c>
      <c r="N35" s="664" t="s">
        <v>1111</v>
      </c>
      <c r="O35" s="664">
        <f t="shared" si="5"/>
        <v>0.98362935649238892</v>
      </c>
      <c r="P35" s="664">
        <f t="shared" si="5"/>
        <v>1</v>
      </c>
      <c r="Q35" s="664">
        <f t="shared" si="5"/>
        <v>1.0006786595149542</v>
      </c>
      <c r="R35" s="664">
        <f t="shared" si="5"/>
        <v>1.0040719570897254</v>
      </c>
      <c r="S35" s="664">
        <f t="shared" si="5"/>
        <v>1.0089945360014674</v>
      </c>
      <c r="T35" s="664">
        <f t="shared" si="5"/>
        <v>1.0139171149132093</v>
      </c>
      <c r="U35" s="664">
        <f t="shared" si="5"/>
        <v>1.0206921421860293</v>
      </c>
      <c r="V35" s="664">
        <f t="shared" si="5"/>
        <v>1.0274671694588493</v>
      </c>
    </row>
    <row r="36" spans="1:22" x14ac:dyDescent="0.25">
      <c r="A36" s="667" t="s">
        <v>237</v>
      </c>
      <c r="B36" s="667" t="s">
        <v>1228</v>
      </c>
      <c r="C36" s="667">
        <v>2030</v>
      </c>
      <c r="D36" s="667" t="s">
        <v>1229</v>
      </c>
      <c r="E36" s="668">
        <v>80419.046252814296</v>
      </c>
      <c r="M36" s="664" t="s">
        <v>1225</v>
      </c>
      <c r="N36" s="664" t="s">
        <v>1116</v>
      </c>
      <c r="O36" s="664">
        <f t="shared" si="5"/>
        <v>1.0539833389995439</v>
      </c>
      <c r="P36" s="664">
        <f t="shared" si="5"/>
        <v>1</v>
      </c>
      <c r="Q36" s="664">
        <f t="shared" si="5"/>
        <v>0.92196650957954296</v>
      </c>
      <c r="R36" s="664">
        <f t="shared" si="5"/>
        <v>0.85890186121558765</v>
      </c>
      <c r="S36" s="664">
        <f t="shared" si="5"/>
        <v>0.8148090644578958</v>
      </c>
      <c r="T36" s="664">
        <f t="shared" si="5"/>
        <v>0.77071626770020341</v>
      </c>
      <c r="U36" s="664">
        <f t="shared" si="5"/>
        <v>0.76243052881787621</v>
      </c>
      <c r="V36" s="664">
        <f t="shared" si="5"/>
        <v>0.75414478993554901</v>
      </c>
    </row>
    <row r="37" spans="1:22" x14ac:dyDescent="0.25">
      <c r="A37" s="667" t="s">
        <v>1117</v>
      </c>
      <c r="B37" s="667" t="s">
        <v>1228</v>
      </c>
      <c r="C37" s="667">
        <v>2030</v>
      </c>
      <c r="D37" s="667" t="s">
        <v>1226</v>
      </c>
      <c r="E37" s="668">
        <v>91468.298502517398</v>
      </c>
      <c r="M37" s="664" t="s">
        <v>1225</v>
      </c>
      <c r="N37" s="664" t="s">
        <v>1219</v>
      </c>
      <c r="O37" s="664">
        <f t="shared" si="5"/>
        <v>1.0719891213107111</v>
      </c>
      <c r="P37" s="664">
        <f t="shared" si="5"/>
        <v>1</v>
      </c>
      <c r="Q37" s="664">
        <f t="shared" si="5"/>
        <v>0.93490606903352391</v>
      </c>
      <c r="R37" s="664">
        <f t="shared" si="5"/>
        <v>0.93653921793946071</v>
      </c>
      <c r="S37" s="664">
        <f t="shared" si="5"/>
        <v>0.95260823720876597</v>
      </c>
      <c r="T37" s="664">
        <f t="shared" si="5"/>
        <v>0.96867725647807112</v>
      </c>
      <c r="U37" s="664">
        <f t="shared" si="5"/>
        <v>0.95092963675022335</v>
      </c>
      <c r="V37" s="664">
        <f t="shared" si="5"/>
        <v>0.93318201702237646</v>
      </c>
    </row>
    <row r="38" spans="1:22" x14ac:dyDescent="0.25">
      <c r="A38" s="667" t="s">
        <v>1117</v>
      </c>
      <c r="B38" s="667" t="s">
        <v>1228</v>
      </c>
      <c r="C38" s="667">
        <v>2030</v>
      </c>
      <c r="D38" s="667" t="s">
        <v>1229</v>
      </c>
      <c r="E38" s="668">
        <v>81939.541561467398</v>
      </c>
    </row>
    <row r="39" spans="1:22" x14ac:dyDescent="0.25">
      <c r="A39" s="667" t="s">
        <v>1219</v>
      </c>
      <c r="B39" s="667" t="s">
        <v>1228</v>
      </c>
      <c r="C39" s="667">
        <v>2030</v>
      </c>
      <c r="D39" s="667" t="s">
        <v>1226</v>
      </c>
      <c r="E39" s="668">
        <v>82351.234013170804</v>
      </c>
      <c r="N39" s="721" t="s">
        <v>1136</v>
      </c>
      <c r="O39" s="721" t="s">
        <v>1310</v>
      </c>
    </row>
    <row r="40" spans="1:22" x14ac:dyDescent="0.25">
      <c r="A40" s="667" t="s">
        <v>1219</v>
      </c>
      <c r="B40" s="667" t="s">
        <v>1228</v>
      </c>
      <c r="C40" s="667">
        <v>2030</v>
      </c>
      <c r="D40" s="667" t="s">
        <v>1229</v>
      </c>
      <c r="E40" s="668">
        <v>81853.717365813398</v>
      </c>
      <c r="O40" s="664">
        <v>2020</v>
      </c>
      <c r="P40" s="664">
        <v>2025</v>
      </c>
      <c r="Q40" s="664">
        <v>2030</v>
      </c>
      <c r="R40" s="664">
        <v>2035</v>
      </c>
      <c r="S40" s="664">
        <v>2040</v>
      </c>
      <c r="T40" s="664">
        <v>2045</v>
      </c>
      <c r="U40" s="664">
        <v>2050</v>
      </c>
    </row>
    <row r="41" spans="1:22" x14ac:dyDescent="0.25">
      <c r="A41" s="667" t="s">
        <v>237</v>
      </c>
      <c r="B41" s="667" t="s">
        <v>1228</v>
      </c>
      <c r="C41" s="667">
        <v>2040</v>
      </c>
      <c r="D41" s="667" t="s">
        <v>1226</v>
      </c>
      <c r="E41" s="668">
        <v>80531.279866715602</v>
      </c>
      <c r="N41" s="678" t="s">
        <v>1117</v>
      </c>
      <c r="O41" s="722">
        <f>AVERAGE(O24,O29,O34)</f>
        <v>1.1470141283368605</v>
      </c>
      <c r="P41" s="722">
        <f t="shared" ref="P41:U44" si="6">AVERAGE(Q24,Q29,Q34)</f>
        <v>0.90023034384652922</v>
      </c>
      <c r="Q41" s="722">
        <f t="shared" si="6"/>
        <v>0.7284848668174867</v>
      </c>
      <c r="R41" s="722">
        <f t="shared" si="6"/>
        <v>0.68783152370712985</v>
      </c>
      <c r="S41" s="722">
        <f t="shared" si="6"/>
        <v>0.64717818059677368</v>
      </c>
      <c r="T41" s="722">
        <f t="shared" si="6"/>
        <v>0.63510751237115082</v>
      </c>
      <c r="U41" s="722">
        <f t="shared" si="6"/>
        <v>0.62303684414552796</v>
      </c>
    </row>
    <row r="42" spans="1:22" x14ac:dyDescent="0.25">
      <c r="A42" s="667" t="s">
        <v>237</v>
      </c>
      <c r="B42" s="667" t="s">
        <v>1228</v>
      </c>
      <c r="C42" s="667">
        <v>2040</v>
      </c>
      <c r="D42" s="667" t="s">
        <v>1229</v>
      </c>
      <c r="E42" s="668">
        <v>82211.073210756993</v>
      </c>
      <c r="N42" s="678" t="s">
        <v>1111</v>
      </c>
      <c r="O42" s="722">
        <f>AVERAGE(O25,O30,O35)</f>
        <v>0.9795257757101582</v>
      </c>
      <c r="P42" s="722">
        <f t="shared" si="6"/>
        <v>1.0014122235669756</v>
      </c>
      <c r="Q42" s="722">
        <f t="shared" si="6"/>
        <v>1.0084733414018541</v>
      </c>
      <c r="R42" s="722">
        <f t="shared" si="6"/>
        <v>1.014065259492172</v>
      </c>
      <c r="S42" s="722">
        <f t="shared" si="6"/>
        <v>1.0196571775824899</v>
      </c>
      <c r="T42" s="722">
        <f t="shared" si="6"/>
        <v>1.0219768293939346</v>
      </c>
      <c r="U42" s="722">
        <f t="shared" si="6"/>
        <v>1.0242964812053794</v>
      </c>
    </row>
    <row r="43" spans="1:22" x14ac:dyDescent="0.25">
      <c r="A43" s="667" t="s">
        <v>1117</v>
      </c>
      <c r="B43" s="667" t="s">
        <v>1228</v>
      </c>
      <c r="C43" s="667">
        <v>2040</v>
      </c>
      <c r="D43" s="667" t="s">
        <v>1226</v>
      </c>
      <c r="E43" s="668">
        <v>82614.388557329294</v>
      </c>
      <c r="N43" s="678" t="s">
        <v>1116</v>
      </c>
      <c r="O43" s="722">
        <f>AVERAGE(O26,O31,O36)</f>
        <v>1.05476194616494</v>
      </c>
      <c r="P43" s="722">
        <f t="shared" si="6"/>
        <v>0.92178459201753682</v>
      </c>
      <c r="Q43" s="722">
        <f t="shared" si="6"/>
        <v>0.85781035584354248</v>
      </c>
      <c r="R43" s="722">
        <f t="shared" si="6"/>
        <v>0.80936159554137765</v>
      </c>
      <c r="S43" s="722">
        <f t="shared" si="6"/>
        <v>0.76091283523921061</v>
      </c>
      <c r="T43" s="722">
        <f t="shared" si="6"/>
        <v>0.75178631373493143</v>
      </c>
      <c r="U43" s="722">
        <f t="shared" si="6"/>
        <v>0.74265979223065182</v>
      </c>
    </row>
    <row r="44" spans="1:22" x14ac:dyDescent="0.25">
      <c r="A44" s="667" t="s">
        <v>1117</v>
      </c>
      <c r="B44" s="667" t="s">
        <v>1228</v>
      </c>
      <c r="C44" s="667">
        <v>2040</v>
      </c>
      <c r="D44" s="667" t="s">
        <v>1229</v>
      </c>
      <c r="E44" s="668">
        <v>73848.283389423901</v>
      </c>
      <c r="N44" s="678" t="s">
        <v>1219</v>
      </c>
      <c r="O44" s="722">
        <f>AVERAGE(O27,O32,O37)</f>
        <v>1.0658386767291714</v>
      </c>
      <c r="P44" s="737">
        <v>1.03</v>
      </c>
      <c r="Q44" s="737">
        <v>0.998</v>
      </c>
      <c r="R44" s="737">
        <v>0.97499999999999998</v>
      </c>
      <c r="S44" s="722">
        <f t="shared" si="6"/>
        <v>0.96100705017736432</v>
      </c>
      <c r="T44" s="722">
        <f t="shared" si="6"/>
        <v>0.95510073871925838</v>
      </c>
      <c r="U44" s="722">
        <f t="shared" si="6"/>
        <v>0.94919442726115255</v>
      </c>
    </row>
    <row r="45" spans="1:22" x14ac:dyDescent="0.25">
      <c r="A45" s="667" t="s">
        <v>1219</v>
      </c>
      <c r="B45" s="667" t="s">
        <v>1228</v>
      </c>
      <c r="C45" s="667">
        <v>2040</v>
      </c>
      <c r="D45" s="667" t="s">
        <v>1226</v>
      </c>
      <c r="E45" s="668">
        <v>84925.888451620398</v>
      </c>
    </row>
    <row r="46" spans="1:22" x14ac:dyDescent="0.25">
      <c r="A46" s="667" t="s">
        <v>1219</v>
      </c>
      <c r="B46" s="667" t="s">
        <v>1228</v>
      </c>
      <c r="C46" s="667">
        <v>2040</v>
      </c>
      <c r="D46" s="667" t="s">
        <v>1229</v>
      </c>
      <c r="E46" s="668">
        <v>83103.939561961393</v>
      </c>
    </row>
    <row r="47" spans="1:22" x14ac:dyDescent="0.25">
      <c r="A47" s="667" t="s">
        <v>237</v>
      </c>
      <c r="B47" s="667" t="s">
        <v>1237</v>
      </c>
      <c r="C47" s="667">
        <v>2040</v>
      </c>
      <c r="D47" s="667" t="s">
        <v>1226</v>
      </c>
      <c r="E47" s="668">
        <v>45482.427759856801</v>
      </c>
      <c r="O47" s="738"/>
      <c r="P47" s="738"/>
      <c r="Q47" s="738"/>
      <c r="R47" s="738"/>
    </row>
    <row r="48" spans="1:22" x14ac:dyDescent="0.25">
      <c r="A48" s="667" t="s">
        <v>237</v>
      </c>
      <c r="B48" s="667" t="s">
        <v>1237</v>
      </c>
      <c r="C48" s="667">
        <v>2040</v>
      </c>
      <c r="D48" s="667" t="s">
        <v>1229</v>
      </c>
      <c r="E48" s="668">
        <v>45007.492204758099</v>
      </c>
    </row>
    <row r="49" spans="1:5" x14ac:dyDescent="0.25">
      <c r="A49" s="667" t="s">
        <v>1117</v>
      </c>
      <c r="B49" s="667" t="s">
        <v>1237</v>
      </c>
      <c r="C49" s="667">
        <v>2040</v>
      </c>
      <c r="D49" s="667" t="s">
        <v>1226</v>
      </c>
      <c r="E49" s="668">
        <v>47384.134484041402</v>
      </c>
    </row>
    <row r="50" spans="1:5" x14ac:dyDescent="0.25">
      <c r="A50" s="667" t="s">
        <v>1117</v>
      </c>
      <c r="B50" s="667" t="s">
        <v>1237</v>
      </c>
      <c r="C50" s="667">
        <v>2040</v>
      </c>
      <c r="D50" s="667" t="s">
        <v>1229</v>
      </c>
      <c r="E50" s="668">
        <v>40011.515567970302</v>
      </c>
    </row>
    <row r="51" spans="1:5" x14ac:dyDescent="0.25">
      <c r="A51" s="667" t="s">
        <v>1219</v>
      </c>
      <c r="B51" s="667" t="s">
        <v>1237</v>
      </c>
      <c r="C51" s="667">
        <v>2040</v>
      </c>
      <c r="D51" s="667" t="s">
        <v>1226</v>
      </c>
      <c r="E51" s="668">
        <v>46003.298768790701</v>
      </c>
    </row>
    <row r="52" spans="1:5" x14ac:dyDescent="0.25">
      <c r="A52" s="667" t="s">
        <v>1219</v>
      </c>
      <c r="B52" s="667" t="s">
        <v>1237</v>
      </c>
      <c r="C52" s="667">
        <v>2040</v>
      </c>
      <c r="D52" s="667" t="s">
        <v>1229</v>
      </c>
      <c r="E52" s="668">
        <v>46424.438590004502</v>
      </c>
    </row>
    <row r="53" spans="1:5" x14ac:dyDescent="0.25">
      <c r="A53" s="667" t="s">
        <v>237</v>
      </c>
      <c r="B53" s="667" t="s">
        <v>1225</v>
      </c>
      <c r="C53" s="667">
        <v>2040</v>
      </c>
      <c r="D53" s="667" t="s">
        <v>1226</v>
      </c>
      <c r="E53" s="668">
        <v>126409.26072325101</v>
      </c>
    </row>
    <row r="54" spans="1:5" x14ac:dyDescent="0.25">
      <c r="A54" s="667" t="s">
        <v>237</v>
      </c>
      <c r="B54" s="667" t="s">
        <v>1225</v>
      </c>
      <c r="C54" s="667">
        <v>2040</v>
      </c>
      <c r="D54" s="667" t="s">
        <v>1229</v>
      </c>
      <c r="E54" s="668">
        <v>126475.374523069</v>
      </c>
    </row>
    <row r="55" spans="1:5" x14ac:dyDescent="0.25">
      <c r="A55" s="667" t="s">
        <v>1117</v>
      </c>
      <c r="B55" s="667" t="s">
        <v>1225</v>
      </c>
      <c r="C55" s="667">
        <v>2040</v>
      </c>
      <c r="D55" s="667" t="s">
        <v>1226</v>
      </c>
      <c r="E55" s="668">
        <v>130519.199271814</v>
      </c>
    </row>
    <row r="56" spans="1:5" x14ac:dyDescent="0.25">
      <c r="A56" s="667" t="s">
        <v>1117</v>
      </c>
      <c r="B56" s="667" t="s">
        <v>1225</v>
      </c>
      <c r="C56" s="667">
        <v>2040</v>
      </c>
      <c r="D56" s="667" t="s">
        <v>1229</v>
      </c>
      <c r="E56" s="668">
        <v>117061.024414414</v>
      </c>
    </row>
    <row r="57" spans="1:5" x14ac:dyDescent="0.25">
      <c r="A57" s="667" t="s">
        <v>1219</v>
      </c>
      <c r="B57" s="667" t="s">
        <v>1225</v>
      </c>
      <c r="C57" s="667">
        <v>2040</v>
      </c>
      <c r="D57" s="667" t="s">
        <v>1226</v>
      </c>
      <c r="E57" s="668">
        <v>133439.88043997699</v>
      </c>
    </row>
    <row r="58" spans="1:5" x14ac:dyDescent="0.25">
      <c r="A58" s="667" t="s">
        <v>1219</v>
      </c>
      <c r="B58" s="667" t="s">
        <v>1225</v>
      </c>
      <c r="C58" s="667">
        <v>2040</v>
      </c>
      <c r="D58" s="667" t="s">
        <v>1229</v>
      </c>
      <c r="E58" s="668">
        <v>128640.59039606</v>
      </c>
    </row>
    <row r="59" spans="1:5" x14ac:dyDescent="0.25">
      <c r="A59" s="667" t="s">
        <v>237</v>
      </c>
      <c r="B59" s="667" t="s">
        <v>1237</v>
      </c>
      <c r="C59" s="667">
        <v>2050</v>
      </c>
      <c r="D59" s="667" t="s">
        <v>1226</v>
      </c>
      <c r="E59" s="668">
        <v>45038.640855104401</v>
      </c>
    </row>
    <row r="60" spans="1:5" x14ac:dyDescent="0.25">
      <c r="A60" s="667" t="s">
        <v>237</v>
      </c>
      <c r="B60" s="667" t="s">
        <v>1237</v>
      </c>
      <c r="C60" s="667">
        <v>2050</v>
      </c>
      <c r="D60" s="667" t="s">
        <v>1229</v>
      </c>
      <c r="E60" s="668">
        <v>47079.212041179802</v>
      </c>
    </row>
    <row r="61" spans="1:5" x14ac:dyDescent="0.25">
      <c r="A61" s="667" t="s">
        <v>1117</v>
      </c>
      <c r="B61" s="667" t="s">
        <v>1237</v>
      </c>
      <c r="C61" s="667">
        <v>2050</v>
      </c>
      <c r="D61" s="667" t="s">
        <v>1226</v>
      </c>
      <c r="E61" s="668">
        <v>44847.297467261997</v>
      </c>
    </row>
    <row r="62" spans="1:5" x14ac:dyDescent="0.25">
      <c r="A62" s="667" t="s">
        <v>1117</v>
      </c>
      <c r="B62" s="667" t="s">
        <v>1237</v>
      </c>
      <c r="C62" s="667">
        <v>2050</v>
      </c>
      <c r="D62" s="667" t="s">
        <v>1229</v>
      </c>
      <c r="E62" s="668">
        <v>37702.062385887402</v>
      </c>
    </row>
    <row r="63" spans="1:5" x14ac:dyDescent="0.25">
      <c r="A63" s="667" t="s">
        <v>1219</v>
      </c>
      <c r="B63" s="667" t="s">
        <v>1237</v>
      </c>
      <c r="C63" s="667">
        <v>2050</v>
      </c>
      <c r="D63" s="667" t="s">
        <v>1226</v>
      </c>
      <c r="E63" s="668">
        <v>47114.940102385001</v>
      </c>
    </row>
    <row r="64" spans="1:5" x14ac:dyDescent="0.25">
      <c r="A64" s="667" t="s">
        <v>1219</v>
      </c>
      <c r="B64" s="667" t="s">
        <v>1237</v>
      </c>
      <c r="C64" s="667">
        <v>2050</v>
      </c>
      <c r="D64" s="667" t="s">
        <v>1229</v>
      </c>
      <c r="E64" s="668">
        <v>45618.437137750698</v>
      </c>
    </row>
    <row r="65" spans="1:5" x14ac:dyDescent="0.25">
      <c r="A65" s="667" t="s">
        <v>237</v>
      </c>
      <c r="B65" s="667" t="s">
        <v>1225</v>
      </c>
      <c r="C65" s="667">
        <v>2050</v>
      </c>
      <c r="D65" s="667" t="s">
        <v>1226</v>
      </c>
      <c r="E65" s="668">
        <v>128098.60233972099</v>
      </c>
    </row>
    <row r="66" spans="1:5" x14ac:dyDescent="0.25">
      <c r="A66" s="667" t="s">
        <v>237</v>
      </c>
      <c r="B66" s="667" t="s">
        <v>1225</v>
      </c>
      <c r="C66" s="667">
        <v>2050</v>
      </c>
      <c r="D66" s="667" t="s">
        <v>1229</v>
      </c>
      <c r="E66" s="668">
        <v>128117.821517163</v>
      </c>
    </row>
    <row r="67" spans="1:5" x14ac:dyDescent="0.25">
      <c r="A67" s="667" t="s">
        <v>1117</v>
      </c>
      <c r="B67" s="667" t="s">
        <v>1225</v>
      </c>
      <c r="C67" s="667">
        <v>2050</v>
      </c>
      <c r="D67" s="667" t="s">
        <v>1226</v>
      </c>
      <c r="E67" s="668">
        <v>127308.349858645</v>
      </c>
    </row>
    <row r="68" spans="1:5" x14ac:dyDescent="0.25">
      <c r="A68" s="667" t="s">
        <v>1117</v>
      </c>
      <c r="B68" s="667" t="s">
        <v>1225</v>
      </c>
      <c r="C68" s="667">
        <v>2050</v>
      </c>
      <c r="D68" s="667" t="s">
        <v>1229</v>
      </c>
      <c r="E68" s="668">
        <v>113124.757243812</v>
      </c>
    </row>
    <row r="69" spans="1:5" x14ac:dyDescent="0.25">
      <c r="A69" s="667" t="s">
        <v>1219</v>
      </c>
      <c r="B69" s="667" t="s">
        <v>1225</v>
      </c>
      <c r="C69" s="667">
        <v>2050</v>
      </c>
      <c r="D69" s="667" t="s">
        <v>1226</v>
      </c>
      <c r="E69" s="668">
        <v>128550.24307368101</v>
      </c>
    </row>
    <row r="70" spans="1:5" x14ac:dyDescent="0.25">
      <c r="A70" s="667" t="s">
        <v>1219</v>
      </c>
      <c r="B70" s="667" t="s">
        <v>1225</v>
      </c>
      <c r="C70" s="667">
        <v>2050</v>
      </c>
      <c r="D70" s="667" t="s">
        <v>1229</v>
      </c>
      <c r="E70" s="668">
        <v>133522.54116052599</v>
      </c>
    </row>
    <row r="71" spans="1:5" x14ac:dyDescent="0.25">
      <c r="A71" s="667" t="s">
        <v>237</v>
      </c>
      <c r="B71" s="667" t="s">
        <v>1228</v>
      </c>
      <c r="C71" s="667">
        <v>2050</v>
      </c>
      <c r="D71" s="667" t="s">
        <v>1226</v>
      </c>
      <c r="E71" s="668">
        <v>81352.868838823793</v>
      </c>
    </row>
    <row r="72" spans="1:5" x14ac:dyDescent="0.25">
      <c r="A72" s="667" t="s">
        <v>237</v>
      </c>
      <c r="B72" s="667" t="s">
        <v>1228</v>
      </c>
      <c r="C72" s="667">
        <v>2050</v>
      </c>
      <c r="D72" s="667" t="s">
        <v>1229</v>
      </c>
      <c r="E72" s="668">
        <v>81185.9799675635</v>
      </c>
    </row>
    <row r="73" spans="1:5" x14ac:dyDescent="0.25">
      <c r="A73" s="667" t="s">
        <v>1117</v>
      </c>
      <c r="B73" s="667" t="s">
        <v>1228</v>
      </c>
      <c r="C73" s="667">
        <v>2050</v>
      </c>
      <c r="D73" s="667" t="s">
        <v>1226</v>
      </c>
      <c r="E73" s="668">
        <v>79633.5895992687</v>
      </c>
    </row>
    <row r="74" spans="1:5" x14ac:dyDescent="0.25">
      <c r="A74" s="667" t="s">
        <v>1117</v>
      </c>
      <c r="B74" s="667" t="s">
        <v>1228</v>
      </c>
      <c r="C74" s="667">
        <v>2050</v>
      </c>
      <c r="D74" s="667" t="s">
        <v>1229</v>
      </c>
      <c r="E74" s="668">
        <v>71319.114219120005</v>
      </c>
    </row>
    <row r="75" spans="1:5" x14ac:dyDescent="0.25">
      <c r="A75" s="667" t="s">
        <v>1219</v>
      </c>
      <c r="B75" s="667" t="s">
        <v>1228</v>
      </c>
      <c r="C75" s="667">
        <v>2050</v>
      </c>
      <c r="D75" s="667" t="s">
        <v>1226</v>
      </c>
      <c r="E75" s="668">
        <v>82975.583531581302</v>
      </c>
    </row>
    <row r="76" spans="1:5" x14ac:dyDescent="0.25">
      <c r="A76" s="667" t="s">
        <v>1219</v>
      </c>
      <c r="B76" s="667" t="s">
        <v>1228</v>
      </c>
      <c r="C76" s="667">
        <v>2050</v>
      </c>
      <c r="D76" s="667" t="s">
        <v>1229</v>
      </c>
      <c r="E76" s="668">
        <v>83331.152094527002</v>
      </c>
    </row>
    <row r="77" spans="1:5" x14ac:dyDescent="0.25">
      <c r="A77" s="667" t="s">
        <v>1238</v>
      </c>
      <c r="B77" s="667" t="s">
        <v>1225</v>
      </c>
      <c r="C77" s="667">
        <v>2025</v>
      </c>
      <c r="D77" s="667" t="s">
        <v>1226</v>
      </c>
      <c r="E77" s="668">
        <v>184142.539387792</v>
      </c>
    </row>
    <row r="78" spans="1:5" x14ac:dyDescent="0.25">
      <c r="A78" s="667" t="s">
        <v>1238</v>
      </c>
      <c r="B78" s="667" t="s">
        <v>1225</v>
      </c>
      <c r="C78" s="667">
        <v>2025</v>
      </c>
      <c r="D78" s="667" t="s">
        <v>1229</v>
      </c>
      <c r="E78" s="668">
        <v>180757.00426050101</v>
      </c>
    </row>
    <row r="79" spans="1:5" x14ac:dyDescent="0.25">
      <c r="A79" s="667" t="s">
        <v>1238</v>
      </c>
      <c r="B79" s="667" t="s">
        <v>1228</v>
      </c>
      <c r="C79" s="667">
        <v>2025</v>
      </c>
      <c r="D79" s="667" t="s">
        <v>1226</v>
      </c>
      <c r="E79" s="668">
        <v>108917.08759559</v>
      </c>
    </row>
    <row r="80" spans="1:5" x14ac:dyDescent="0.25">
      <c r="A80" s="667" t="s">
        <v>1238</v>
      </c>
      <c r="B80" s="667" t="s">
        <v>1228</v>
      </c>
      <c r="C80" s="667">
        <v>2025</v>
      </c>
      <c r="D80" s="667" t="s">
        <v>1229</v>
      </c>
      <c r="E80" s="668">
        <v>106786.253660602</v>
      </c>
    </row>
    <row r="81" spans="1:5" x14ac:dyDescent="0.25">
      <c r="A81" s="667" t="s">
        <v>1238</v>
      </c>
      <c r="B81" s="667" t="s">
        <v>1237</v>
      </c>
      <c r="C81" s="667">
        <v>2025</v>
      </c>
      <c r="D81" s="667" t="s">
        <v>1226</v>
      </c>
      <c r="E81" s="668">
        <v>64737.898672643802</v>
      </c>
    </row>
    <row r="82" spans="1:5" x14ac:dyDescent="0.25">
      <c r="A82" s="667" t="s">
        <v>1238</v>
      </c>
      <c r="B82" s="667" t="s">
        <v>1237</v>
      </c>
      <c r="C82" s="667">
        <v>2025</v>
      </c>
      <c r="D82" s="667" t="s">
        <v>1229</v>
      </c>
      <c r="E82" s="668">
        <v>63184.982991068602</v>
      </c>
    </row>
    <row r="83" spans="1:5" x14ac:dyDescent="0.25">
      <c r="A83" s="667" t="s">
        <v>1238</v>
      </c>
      <c r="B83" s="667" t="s">
        <v>1225</v>
      </c>
      <c r="C83" s="667">
        <v>2030</v>
      </c>
      <c r="D83" s="667" t="s">
        <v>1226</v>
      </c>
      <c r="E83" s="668">
        <v>171546.76245373301</v>
      </c>
    </row>
    <row r="84" spans="1:5" x14ac:dyDescent="0.25">
      <c r="A84" s="667" t="s">
        <v>1238</v>
      </c>
      <c r="B84" s="667" t="s">
        <v>1225</v>
      </c>
      <c r="C84" s="667">
        <v>2030</v>
      </c>
      <c r="D84" s="667" t="s">
        <v>1229</v>
      </c>
      <c r="E84" s="668">
        <v>148724.55465612901</v>
      </c>
    </row>
    <row r="85" spans="1:5" x14ac:dyDescent="0.25">
      <c r="A85" s="667" t="s">
        <v>1238</v>
      </c>
      <c r="B85" s="667" t="s">
        <v>1228</v>
      </c>
      <c r="C85" s="667">
        <v>2030</v>
      </c>
      <c r="D85" s="667" t="s">
        <v>1226</v>
      </c>
      <c r="E85" s="668">
        <v>102263.236672406</v>
      </c>
    </row>
    <row r="86" spans="1:5" x14ac:dyDescent="0.25">
      <c r="A86" s="667" t="s">
        <v>1238</v>
      </c>
      <c r="B86" s="667" t="s">
        <v>1228</v>
      </c>
      <c r="C86" s="667">
        <v>2030</v>
      </c>
      <c r="D86" s="667" t="s">
        <v>1229</v>
      </c>
      <c r="E86" s="668">
        <v>89190.760178212004</v>
      </c>
    </row>
    <row r="87" spans="1:5" x14ac:dyDescent="0.25">
      <c r="A87" s="667" t="s">
        <v>1238</v>
      </c>
      <c r="B87" s="667" t="s">
        <v>1237</v>
      </c>
      <c r="C87" s="667">
        <v>2030</v>
      </c>
      <c r="D87" s="667" t="s">
        <v>1226</v>
      </c>
      <c r="E87" s="668">
        <v>59640.0801817998</v>
      </c>
    </row>
    <row r="88" spans="1:5" x14ac:dyDescent="0.25">
      <c r="A88" s="667" t="s">
        <v>1238</v>
      </c>
      <c r="B88" s="667" t="s">
        <v>1237</v>
      </c>
      <c r="C88" s="667">
        <v>2030</v>
      </c>
      <c r="D88" s="667" t="s">
        <v>1229</v>
      </c>
      <c r="E88" s="668">
        <v>50029.221013609596</v>
      </c>
    </row>
    <row r="89" spans="1:5" x14ac:dyDescent="0.25">
      <c r="A89" s="667" t="s">
        <v>1238</v>
      </c>
      <c r="B89" s="667" t="s">
        <v>1228</v>
      </c>
      <c r="C89" s="667">
        <v>2040</v>
      </c>
      <c r="D89" s="667" t="s">
        <v>1226</v>
      </c>
      <c r="E89" s="668">
        <v>91881.970035619801</v>
      </c>
    </row>
    <row r="90" spans="1:5" x14ac:dyDescent="0.25">
      <c r="A90" s="667" t="s">
        <v>1238</v>
      </c>
      <c r="B90" s="667" t="s">
        <v>1228</v>
      </c>
      <c r="C90" s="667">
        <v>2040</v>
      </c>
      <c r="D90" s="667" t="s">
        <v>1229</v>
      </c>
      <c r="E90" s="668">
        <v>83096.144616772493</v>
      </c>
    </row>
    <row r="91" spans="1:5" x14ac:dyDescent="0.25">
      <c r="A91" s="667" t="s">
        <v>1238</v>
      </c>
      <c r="B91" s="667" t="s">
        <v>1237</v>
      </c>
      <c r="C91" s="667">
        <v>2040</v>
      </c>
      <c r="D91" s="667" t="s">
        <v>1226</v>
      </c>
      <c r="E91" s="668">
        <v>51583.510230305903</v>
      </c>
    </row>
    <row r="92" spans="1:5" x14ac:dyDescent="0.25">
      <c r="A92" s="667" t="s">
        <v>1238</v>
      </c>
      <c r="B92" s="667" t="s">
        <v>1237</v>
      </c>
      <c r="C92" s="667">
        <v>2040</v>
      </c>
      <c r="D92" s="667" t="s">
        <v>1229</v>
      </c>
      <c r="E92" s="668">
        <v>45240.414065169898</v>
      </c>
    </row>
    <row r="93" spans="1:5" x14ac:dyDescent="0.25">
      <c r="A93" s="667" t="s">
        <v>1238</v>
      </c>
      <c r="B93" s="667" t="s">
        <v>1225</v>
      </c>
      <c r="C93" s="667">
        <v>2040</v>
      </c>
      <c r="D93" s="667" t="s">
        <v>1226</v>
      </c>
      <c r="E93" s="668">
        <v>153933.62904962699</v>
      </c>
    </row>
    <row r="94" spans="1:5" x14ac:dyDescent="0.25">
      <c r="A94" s="667" t="s">
        <v>1238</v>
      </c>
      <c r="B94" s="667" t="s">
        <v>1225</v>
      </c>
      <c r="C94" s="667">
        <v>2040</v>
      </c>
      <c r="D94" s="667" t="s">
        <v>1229</v>
      </c>
      <c r="E94" s="668">
        <v>137568.295663692</v>
      </c>
    </row>
    <row r="95" spans="1:5" x14ac:dyDescent="0.25">
      <c r="A95" s="667" t="s">
        <v>1238</v>
      </c>
      <c r="B95" s="667" t="s">
        <v>1237</v>
      </c>
      <c r="C95" s="667">
        <v>2050</v>
      </c>
      <c r="D95" s="667" t="s">
        <v>1226</v>
      </c>
      <c r="E95" s="668">
        <v>49792.084496843498</v>
      </c>
    </row>
    <row r="96" spans="1:5" x14ac:dyDescent="0.25">
      <c r="A96" s="667" t="s">
        <v>1238</v>
      </c>
      <c r="B96" s="667" t="s">
        <v>1237</v>
      </c>
      <c r="C96" s="667">
        <v>2050</v>
      </c>
      <c r="D96" s="667" t="s">
        <v>1229</v>
      </c>
      <c r="E96" s="668">
        <v>41690.739838148103</v>
      </c>
    </row>
    <row r="97" spans="1:5" x14ac:dyDescent="0.25">
      <c r="A97" s="667" t="s">
        <v>1238</v>
      </c>
      <c r="B97" s="667" t="s">
        <v>1225</v>
      </c>
      <c r="C97" s="667">
        <v>2050</v>
      </c>
      <c r="D97" s="667" t="s">
        <v>1226</v>
      </c>
      <c r="E97" s="668">
        <v>150623.84071644401</v>
      </c>
    </row>
    <row r="98" spans="1:5" x14ac:dyDescent="0.25">
      <c r="A98" s="667" t="s">
        <v>1238</v>
      </c>
      <c r="B98" s="667" t="s">
        <v>1225</v>
      </c>
      <c r="C98" s="667">
        <v>2050</v>
      </c>
      <c r="D98" s="667" t="s">
        <v>1229</v>
      </c>
      <c r="E98" s="668">
        <v>129616.08841927099</v>
      </c>
    </row>
    <row r="99" spans="1:5" x14ac:dyDescent="0.25">
      <c r="A99" s="667" t="s">
        <v>1238</v>
      </c>
      <c r="B99" s="667" t="s">
        <v>1228</v>
      </c>
      <c r="C99" s="667">
        <v>2050</v>
      </c>
      <c r="D99" s="667" t="s">
        <v>1226</v>
      </c>
      <c r="E99" s="668">
        <v>90380.630136863998</v>
      </c>
    </row>
    <row r="100" spans="1:5" x14ac:dyDescent="0.25">
      <c r="A100" s="667" t="s">
        <v>1238</v>
      </c>
      <c r="B100" s="667" t="s">
        <v>1228</v>
      </c>
      <c r="C100" s="667">
        <v>2050</v>
      </c>
      <c r="D100" s="667" t="s">
        <v>1229</v>
      </c>
      <c r="E100" s="668">
        <v>78766.276569039299</v>
      </c>
    </row>
  </sheetData>
  <hyperlinks>
    <hyperlink ref="H2" r:id="rId2" xr:uid="{920438BD-FEBC-4134-9406-90924F8F2F93}"/>
  </hyperlinks>
  <pageMargins left="0.7" right="0.7" top="0.75" bottom="0.75" header="0.3" footer="0.3"/>
  <drawing r:id="rId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78683-7856-44C5-AE71-6F9F37B8C62D}">
  <sheetPr>
    <tabColor theme="8" tint="0.79998168889431442"/>
  </sheetPr>
  <dimension ref="A1:AC87"/>
  <sheetViews>
    <sheetView workbookViewId="0"/>
  </sheetViews>
  <sheetFormatPr defaultRowHeight="15" x14ac:dyDescent="0.25"/>
  <cols>
    <col min="1" max="5" width="9.140625" style="664"/>
    <col min="6" max="6" width="11.42578125" style="664" bestFit="1" customWidth="1"/>
    <col min="7" max="15" width="9.140625" style="664"/>
    <col min="16" max="16" width="12.5703125" style="664" bestFit="1" customWidth="1"/>
    <col min="17" max="23" width="9.140625" style="664"/>
    <col min="24" max="24" width="9.7109375" style="664" bestFit="1" customWidth="1"/>
    <col min="25" max="25" width="9.28515625" style="664" bestFit="1" customWidth="1"/>
    <col min="26" max="26" width="10" style="664" bestFit="1" customWidth="1"/>
    <col min="27" max="27" width="12" style="664" bestFit="1" customWidth="1"/>
    <col min="28" max="16384" width="9.140625" style="664"/>
  </cols>
  <sheetData>
    <row r="1" spans="1:29" ht="26.25" x14ac:dyDescent="0.25">
      <c r="A1" s="663" t="s">
        <v>1312</v>
      </c>
      <c r="B1" s="663" t="s">
        <v>1313</v>
      </c>
      <c r="C1" s="663" t="s">
        <v>1221</v>
      </c>
      <c r="D1" s="663" t="s">
        <v>315</v>
      </c>
      <c r="E1" s="663" t="s">
        <v>1314</v>
      </c>
      <c r="F1" s="663" t="s">
        <v>1223</v>
      </c>
      <c r="H1" s="665" t="s">
        <v>501</v>
      </c>
      <c r="I1" s="666" t="s">
        <v>1315</v>
      </c>
    </row>
    <row r="2" spans="1:29" x14ac:dyDescent="0.25">
      <c r="A2" s="667" t="s">
        <v>333</v>
      </c>
      <c r="B2" s="667" t="s">
        <v>1316</v>
      </c>
      <c r="C2" s="667" t="s">
        <v>1317</v>
      </c>
      <c r="D2" s="667" t="s">
        <v>1226</v>
      </c>
      <c r="E2" s="667">
        <v>2020</v>
      </c>
      <c r="F2" s="668">
        <v>27438</v>
      </c>
      <c r="I2" s="669" t="s">
        <v>1318</v>
      </c>
    </row>
    <row r="3" spans="1:29" x14ac:dyDescent="0.25">
      <c r="A3" s="667" t="s">
        <v>333</v>
      </c>
      <c r="B3" s="667" t="s">
        <v>1316</v>
      </c>
      <c r="C3" s="667" t="s">
        <v>1317</v>
      </c>
      <c r="D3" s="667" t="s">
        <v>1226</v>
      </c>
      <c r="E3" s="667">
        <v>2025</v>
      </c>
      <c r="F3" s="668">
        <v>27484</v>
      </c>
    </row>
    <row r="4" spans="1:29" x14ac:dyDescent="0.25">
      <c r="A4" s="667" t="s">
        <v>333</v>
      </c>
      <c r="B4" s="667" t="s">
        <v>1316</v>
      </c>
      <c r="C4" s="667" t="s">
        <v>1319</v>
      </c>
      <c r="D4" s="667" t="s">
        <v>1226</v>
      </c>
      <c r="E4" s="667">
        <v>2045</v>
      </c>
      <c r="F4" s="668">
        <v>39017</v>
      </c>
    </row>
    <row r="5" spans="1:29" x14ac:dyDescent="0.25">
      <c r="A5" s="667" t="s">
        <v>333</v>
      </c>
      <c r="B5" s="667" t="s">
        <v>1316</v>
      </c>
      <c r="C5" s="667" t="s">
        <v>1319</v>
      </c>
      <c r="D5" s="667" t="s">
        <v>1226</v>
      </c>
      <c r="E5" s="667">
        <v>2050</v>
      </c>
      <c r="F5" s="668">
        <v>38944</v>
      </c>
      <c r="H5" s="664" t="s">
        <v>315</v>
      </c>
      <c r="I5" s="664" t="s">
        <v>1226</v>
      </c>
      <c r="P5" s="725" t="s">
        <v>1230</v>
      </c>
      <c r="Q5" s="726">
        <v>14.898416666666668</v>
      </c>
      <c r="R5" s="727" t="s">
        <v>1231</v>
      </c>
      <c r="S5" s="671">
        <v>15.898018718397513</v>
      </c>
      <c r="T5" s="727" t="s">
        <v>1127</v>
      </c>
    </row>
    <row r="6" spans="1:29" x14ac:dyDescent="0.25">
      <c r="A6" s="667" t="s">
        <v>70</v>
      </c>
      <c r="B6" s="667" t="s">
        <v>1316</v>
      </c>
      <c r="C6" s="667" t="s">
        <v>1317</v>
      </c>
      <c r="D6" s="667" t="s">
        <v>1226</v>
      </c>
      <c r="E6" s="667">
        <v>2020</v>
      </c>
      <c r="F6" s="668">
        <v>20947.725746915581</v>
      </c>
      <c r="H6" s="664" t="s">
        <v>1313</v>
      </c>
      <c r="I6" s="664" t="s">
        <v>1316</v>
      </c>
      <c r="X6" s="664" t="s">
        <v>1280</v>
      </c>
    </row>
    <row r="7" spans="1:29" x14ac:dyDescent="0.25">
      <c r="A7" s="667" t="s">
        <v>70</v>
      </c>
      <c r="B7" s="667" t="s">
        <v>1316</v>
      </c>
      <c r="C7" s="667" t="s">
        <v>1317</v>
      </c>
      <c r="D7" s="667" t="s">
        <v>1226</v>
      </c>
      <c r="E7" s="667">
        <v>2025</v>
      </c>
      <c r="F7" s="668">
        <v>19876.189295586439</v>
      </c>
      <c r="I7" s="664" t="s">
        <v>1320</v>
      </c>
      <c r="P7" s="728" t="s">
        <v>1127</v>
      </c>
      <c r="Q7" s="728"/>
      <c r="R7" s="728"/>
      <c r="S7" s="728"/>
      <c r="T7" s="728"/>
      <c r="U7" s="728"/>
      <c r="V7" s="728"/>
    </row>
    <row r="8" spans="1:29" x14ac:dyDescent="0.25">
      <c r="A8" s="667" t="s">
        <v>70</v>
      </c>
      <c r="B8" s="667" t="s">
        <v>1316</v>
      </c>
      <c r="C8" s="667" t="s">
        <v>1317</v>
      </c>
      <c r="D8" s="667" t="s">
        <v>1226</v>
      </c>
      <c r="E8" s="667">
        <v>2030</v>
      </c>
      <c r="F8" s="668">
        <v>20100.192605632921</v>
      </c>
      <c r="H8" s="664" t="s">
        <v>1233</v>
      </c>
      <c r="I8" s="664" t="s">
        <v>1234</v>
      </c>
      <c r="P8" s="728"/>
      <c r="Q8" s="728"/>
      <c r="R8" s="728"/>
      <c r="S8" s="728"/>
      <c r="T8" s="728"/>
      <c r="U8" s="728"/>
      <c r="V8" s="728"/>
    </row>
    <row r="9" spans="1:29" x14ac:dyDescent="0.25">
      <c r="A9" s="667" t="s">
        <v>70</v>
      </c>
      <c r="B9" s="667" t="s">
        <v>1316</v>
      </c>
      <c r="C9" s="667" t="s">
        <v>1317</v>
      </c>
      <c r="D9" s="667" t="s">
        <v>1226</v>
      </c>
      <c r="E9" s="667">
        <v>2035</v>
      </c>
      <c r="F9" s="668">
        <v>19681.585083062921</v>
      </c>
      <c r="H9" s="664" t="s">
        <v>1236</v>
      </c>
      <c r="I9" s="664">
        <v>2020</v>
      </c>
      <c r="J9" s="664">
        <v>2025</v>
      </c>
      <c r="K9" s="664">
        <v>2030</v>
      </c>
      <c r="L9" s="664">
        <v>2035</v>
      </c>
      <c r="M9" s="664">
        <v>2040</v>
      </c>
      <c r="N9" s="664">
        <v>2045</v>
      </c>
      <c r="O9" s="664">
        <v>2050</v>
      </c>
      <c r="P9" s="728">
        <v>2020</v>
      </c>
      <c r="Q9" s="728">
        <v>2025</v>
      </c>
      <c r="R9" s="728">
        <v>2030</v>
      </c>
      <c r="S9" s="728">
        <v>2035</v>
      </c>
      <c r="T9" s="728">
        <v>2040</v>
      </c>
      <c r="U9" s="728">
        <v>2045</v>
      </c>
      <c r="V9" s="728">
        <v>2050</v>
      </c>
      <c r="X9" s="728">
        <v>2025</v>
      </c>
      <c r="Y9" s="728">
        <v>2030</v>
      </c>
      <c r="Z9" s="728">
        <v>2035</v>
      </c>
      <c r="AA9" s="728">
        <v>2040</v>
      </c>
      <c r="AB9" s="728">
        <v>2045</v>
      </c>
      <c r="AC9" s="728">
        <v>2050</v>
      </c>
    </row>
    <row r="10" spans="1:29" x14ac:dyDescent="0.25">
      <c r="A10" s="667" t="s">
        <v>70</v>
      </c>
      <c r="B10" s="667" t="s">
        <v>1316</v>
      </c>
      <c r="C10" s="667" t="s">
        <v>1317</v>
      </c>
      <c r="D10" s="667" t="s">
        <v>1226</v>
      </c>
      <c r="E10" s="667">
        <v>2040</v>
      </c>
      <c r="F10" s="668">
        <v>18517.72515340809</v>
      </c>
      <c r="H10" s="674" t="s">
        <v>1317</v>
      </c>
      <c r="I10" s="675"/>
      <c r="J10" s="675"/>
      <c r="K10" s="675"/>
      <c r="L10" s="675"/>
      <c r="M10" s="675"/>
      <c r="N10" s="675"/>
      <c r="O10" s="675"/>
      <c r="P10" s="728"/>
      <c r="Q10" s="728"/>
      <c r="R10" s="728"/>
      <c r="S10" s="728"/>
      <c r="T10" s="728"/>
      <c r="U10" s="728"/>
      <c r="V10" s="728"/>
      <c r="X10" s="664">
        <f>X9^2</f>
        <v>4100625</v>
      </c>
      <c r="Y10" s="664">
        <f t="shared" ref="Y10:AC10" si="0">Y9^2</f>
        <v>4120900</v>
      </c>
      <c r="Z10" s="664">
        <f t="shared" si="0"/>
        <v>4141225</v>
      </c>
      <c r="AA10" s="664">
        <f t="shared" si="0"/>
        <v>4161600</v>
      </c>
      <c r="AB10" s="664">
        <f t="shared" si="0"/>
        <v>4182025</v>
      </c>
      <c r="AC10" s="664">
        <f t="shared" si="0"/>
        <v>4202500</v>
      </c>
    </row>
    <row r="11" spans="1:29" x14ac:dyDescent="0.25">
      <c r="A11" s="667" t="s">
        <v>70</v>
      </c>
      <c r="B11" s="667" t="s">
        <v>1316</v>
      </c>
      <c r="C11" s="667" t="s">
        <v>1317</v>
      </c>
      <c r="D11" s="667" t="s">
        <v>1226</v>
      </c>
      <c r="E11" s="667">
        <v>2045</v>
      </c>
      <c r="F11" s="668">
        <v>17679.0308170319</v>
      </c>
      <c r="H11" s="676" t="s">
        <v>70</v>
      </c>
      <c r="I11" s="675">
        <v>20947.725746915581</v>
      </c>
      <c r="J11" s="675">
        <v>19876.189295586439</v>
      </c>
      <c r="K11" s="675">
        <v>20100.192605632921</v>
      </c>
      <c r="L11" s="675">
        <v>19681.585083062921</v>
      </c>
      <c r="M11" s="675">
        <v>18517.72515340809</v>
      </c>
      <c r="N11" s="675">
        <v>17679.0308170319</v>
      </c>
      <c r="O11" s="675">
        <v>17155.84709574973</v>
      </c>
      <c r="P11" s="729">
        <f>I11*$S$5</f>
        <v>333027.33603232144</v>
      </c>
      <c r="Q11" s="729">
        <f t="shared" ref="Q11:V15" si="1">J11*$S$5</f>
        <v>315992.02947164548</v>
      </c>
      <c r="R11" s="729">
        <f t="shared" si="1"/>
        <v>319553.23828774743</v>
      </c>
      <c r="S11" s="729">
        <f t="shared" si="1"/>
        <v>312898.2080582676</v>
      </c>
      <c r="T11" s="729">
        <f t="shared" si="1"/>
        <v>294395.14111102227</v>
      </c>
      <c r="U11" s="729">
        <f t="shared" si="1"/>
        <v>281061.5628522996</v>
      </c>
      <c r="V11" s="729">
        <f t="shared" si="1"/>
        <v>272743.97825819481</v>
      </c>
      <c r="X11" s="664">
        <f>X9</f>
        <v>2025</v>
      </c>
      <c r="Y11" s="664">
        <f t="shared" ref="Y11:AC11" si="2">Y9</f>
        <v>2030</v>
      </c>
      <c r="Z11" s="664">
        <f t="shared" si="2"/>
        <v>2035</v>
      </c>
      <c r="AA11" s="664">
        <f t="shared" si="2"/>
        <v>2040</v>
      </c>
      <c r="AB11" s="664">
        <f t="shared" si="2"/>
        <v>2045</v>
      </c>
      <c r="AC11" s="664">
        <f t="shared" si="2"/>
        <v>2050</v>
      </c>
    </row>
    <row r="12" spans="1:29" x14ac:dyDescent="0.25">
      <c r="A12" s="667" t="s">
        <v>70</v>
      </c>
      <c r="B12" s="667" t="s">
        <v>1316</v>
      </c>
      <c r="C12" s="667" t="s">
        <v>1317</v>
      </c>
      <c r="D12" s="667" t="s">
        <v>1226</v>
      </c>
      <c r="E12" s="667">
        <v>2050</v>
      </c>
      <c r="F12" s="668">
        <v>17155.84709574973</v>
      </c>
      <c r="H12" s="676" t="s">
        <v>1321</v>
      </c>
      <c r="I12" s="675">
        <v>24948.431767753111</v>
      </c>
      <c r="J12" s="675">
        <v>23662.889070231071</v>
      </c>
      <c r="K12" s="675">
        <v>24145.933038751489</v>
      </c>
      <c r="L12" s="675">
        <v>24016.43249726417</v>
      </c>
      <c r="M12" s="675">
        <v>23937.966112486731</v>
      </c>
      <c r="N12" s="675">
        <v>23059.2950808286</v>
      </c>
      <c r="O12" s="675">
        <v>22682.180285375129</v>
      </c>
      <c r="P12" s="729">
        <f t="shared" ref="P12:P14" si="3">I12*$S$5</f>
        <v>396630.63523840212</v>
      </c>
      <c r="Q12" s="729">
        <f t="shared" si="1"/>
        <v>376193.05336989748</v>
      </c>
      <c r="R12" s="729">
        <f t="shared" si="1"/>
        <v>383872.49542324408</v>
      </c>
      <c r="S12" s="729">
        <f t="shared" si="1"/>
        <v>381813.69339063606</v>
      </c>
      <c r="T12" s="729">
        <f t="shared" si="1"/>
        <v>380566.2333366794</v>
      </c>
      <c r="U12" s="729">
        <f t="shared" si="1"/>
        <v>366597.1048280648</v>
      </c>
      <c r="V12" s="729">
        <f t="shared" si="1"/>
        <v>360601.72675096081</v>
      </c>
      <c r="X12" s="729">
        <v>423729.89290144888</v>
      </c>
      <c r="Y12" s="729">
        <v>388086.65635265608</v>
      </c>
      <c r="Z12" s="729">
        <v>355131.86362513277</v>
      </c>
      <c r="AA12" s="729">
        <v>342292.31434550683</v>
      </c>
      <c r="AB12" s="729">
        <v>330667.12332752673</v>
      </c>
      <c r="AC12" s="729">
        <v>342077.66876375925</v>
      </c>
    </row>
    <row r="13" spans="1:29" x14ac:dyDescent="0.25">
      <c r="A13" s="667" t="s">
        <v>70</v>
      </c>
      <c r="B13" s="667" t="s">
        <v>1316</v>
      </c>
      <c r="C13" s="667" t="s">
        <v>282</v>
      </c>
      <c r="D13" s="667" t="s">
        <v>1226</v>
      </c>
      <c r="E13" s="667">
        <v>2020</v>
      </c>
      <c r="F13" s="668">
        <v>30054.131374924909</v>
      </c>
      <c r="H13" s="676" t="s">
        <v>333</v>
      </c>
      <c r="I13" s="675">
        <v>27438</v>
      </c>
      <c r="J13" s="675">
        <v>27484</v>
      </c>
      <c r="K13" s="675"/>
      <c r="L13" s="675"/>
      <c r="M13" s="675"/>
      <c r="N13" s="675"/>
      <c r="O13" s="675"/>
      <c r="P13" s="729">
        <f t="shared" si="3"/>
        <v>436209.83759539097</v>
      </c>
      <c r="Q13" s="729">
        <f t="shared" si="1"/>
        <v>436941.14645643724</v>
      </c>
      <c r="R13" s="729">
        <f t="shared" si="1"/>
        <v>0</v>
      </c>
      <c r="S13" s="729">
        <f t="shared" si="1"/>
        <v>0</v>
      </c>
      <c r="T13" s="729">
        <f t="shared" si="1"/>
        <v>0</v>
      </c>
      <c r="U13" s="729">
        <f t="shared" si="1"/>
        <v>0</v>
      </c>
      <c r="V13" s="729">
        <f t="shared" si="1"/>
        <v>0</v>
      </c>
      <c r="X13" s="729"/>
      <c r="Y13" s="729"/>
      <c r="Z13" s="729"/>
      <c r="AA13" s="729"/>
      <c r="AB13" s="729"/>
      <c r="AC13" s="729"/>
    </row>
    <row r="14" spans="1:29" x14ac:dyDescent="0.25">
      <c r="A14" s="667" t="s">
        <v>70</v>
      </c>
      <c r="B14" s="667" t="s">
        <v>1316</v>
      </c>
      <c r="C14" s="667" t="s">
        <v>282</v>
      </c>
      <c r="D14" s="667" t="s">
        <v>1226</v>
      </c>
      <c r="E14" s="667">
        <v>2025</v>
      </c>
      <c r="F14" s="668">
        <v>31006.578625478189</v>
      </c>
      <c r="H14" s="676" t="s">
        <v>1117</v>
      </c>
      <c r="I14" s="675">
        <v>27749.448105028481</v>
      </c>
      <c r="J14" s="675">
        <v>27675</v>
      </c>
      <c r="K14" s="675">
        <v>27543.580796252929</v>
      </c>
      <c r="L14" s="675">
        <v>27404.035789473681</v>
      </c>
      <c r="M14" s="675"/>
      <c r="N14" s="675"/>
      <c r="O14" s="675"/>
      <c r="P14" s="729">
        <f t="shared" si="3"/>
        <v>441161.2453989432</v>
      </c>
      <c r="Q14" s="729">
        <f t="shared" si="1"/>
        <v>439977.66803165118</v>
      </c>
      <c r="R14" s="729">
        <f t="shared" si="1"/>
        <v>437888.36307052331</v>
      </c>
      <c r="S14" s="729">
        <f t="shared" si="1"/>
        <v>435669.87394068792</v>
      </c>
      <c r="T14" s="729">
        <f t="shared" si="1"/>
        <v>0</v>
      </c>
      <c r="U14" s="729">
        <f t="shared" si="1"/>
        <v>0</v>
      </c>
      <c r="V14" s="729">
        <f t="shared" si="1"/>
        <v>0</v>
      </c>
      <c r="X14" s="664">
        <f t="array" ref="X14:Z14">LINEST(X12:AC12,X9:AC10,TRUE,FALSE)</f>
        <v>228.99094054522095</v>
      </c>
      <c r="Y14" s="664">
        <v>-936528.70711630932</v>
      </c>
      <c r="Z14" s="664">
        <v>957889785.9738096</v>
      </c>
    </row>
    <row r="15" spans="1:29" x14ac:dyDescent="0.25">
      <c r="A15" s="667" t="s">
        <v>70</v>
      </c>
      <c r="B15" s="667" t="s">
        <v>1316</v>
      </c>
      <c r="C15" s="667" t="s">
        <v>282</v>
      </c>
      <c r="D15" s="667" t="s">
        <v>1226</v>
      </c>
      <c r="E15" s="667">
        <v>2030</v>
      </c>
      <c r="F15" s="668">
        <v>31652.877098076809</v>
      </c>
      <c r="H15" s="676" t="s">
        <v>1322</v>
      </c>
      <c r="I15" s="675"/>
      <c r="J15" s="675">
        <v>26653</v>
      </c>
      <c r="K15" s="675">
        <v>24411.007637294719</v>
      </c>
      <c r="L15" s="675">
        <v>22338.12086371284</v>
      </c>
      <c r="M15" s="675">
        <v>21530.50140451773</v>
      </c>
      <c r="N15" s="675">
        <v>20799.266196917481</v>
      </c>
      <c r="O15" s="675">
        <v>21517</v>
      </c>
      <c r="P15" s="729"/>
      <c r="Q15" s="729">
        <f t="shared" si="1"/>
        <v>423729.89290144888</v>
      </c>
      <c r="R15" s="729">
        <f t="shared" si="1"/>
        <v>388086.65635265608</v>
      </c>
      <c r="S15" s="729">
        <f t="shared" si="1"/>
        <v>355131.86362513277</v>
      </c>
      <c r="T15" s="729">
        <f t="shared" si="1"/>
        <v>342292.31434550683</v>
      </c>
      <c r="U15" s="729">
        <f t="shared" si="1"/>
        <v>330667.12332752673</v>
      </c>
      <c r="V15" s="729">
        <f t="shared" si="1"/>
        <v>342077.66876375925</v>
      </c>
    </row>
    <row r="16" spans="1:29" x14ac:dyDescent="0.25">
      <c r="A16" s="667" t="s">
        <v>70</v>
      </c>
      <c r="B16" s="667" t="s">
        <v>1316</v>
      </c>
      <c r="C16" s="667" t="s">
        <v>282</v>
      </c>
      <c r="D16" s="667" t="s">
        <v>1226</v>
      </c>
      <c r="E16" s="667">
        <v>2035</v>
      </c>
      <c r="F16" s="668">
        <v>31573.772243819691</v>
      </c>
      <c r="H16" s="674" t="s">
        <v>282</v>
      </c>
      <c r="I16" s="675"/>
      <c r="J16" s="675"/>
      <c r="K16" s="675"/>
      <c r="L16" s="675"/>
      <c r="M16" s="675"/>
      <c r="N16" s="675"/>
      <c r="O16" s="675"/>
      <c r="P16" s="728"/>
      <c r="Q16" s="728"/>
      <c r="R16" s="728"/>
      <c r="S16" s="728"/>
      <c r="T16" s="728"/>
      <c r="U16" s="728"/>
      <c r="V16" s="728"/>
    </row>
    <row r="17" spans="1:22" x14ac:dyDescent="0.25">
      <c r="A17" s="667" t="s">
        <v>70</v>
      </c>
      <c r="B17" s="667" t="s">
        <v>1316</v>
      </c>
      <c r="C17" s="667" t="s">
        <v>282</v>
      </c>
      <c r="D17" s="667" t="s">
        <v>1226</v>
      </c>
      <c r="E17" s="667">
        <v>2040</v>
      </c>
      <c r="F17" s="668">
        <v>31630.88593324774</v>
      </c>
      <c r="H17" s="676" t="s">
        <v>70</v>
      </c>
      <c r="I17" s="675">
        <v>30054.131374924909</v>
      </c>
      <c r="J17" s="675">
        <v>31006.578625478189</v>
      </c>
      <c r="K17" s="675">
        <v>31652.877098076809</v>
      </c>
      <c r="L17" s="675">
        <v>31573.772243819691</v>
      </c>
      <c r="M17" s="675">
        <v>31630.88593324774</v>
      </c>
      <c r="N17" s="675">
        <v>31799.19058868504</v>
      </c>
      <c r="O17" s="675">
        <v>31655.462469864899</v>
      </c>
      <c r="P17" s="729">
        <f>I17*$S$5</f>
        <v>477801.14316373417</v>
      </c>
      <c r="Q17" s="729">
        <f t="shared" ref="Q17:V21" si="4">J17*$S$5</f>
        <v>492943.16738131648</v>
      </c>
      <c r="R17" s="729">
        <f t="shared" si="4"/>
        <v>503218.03259636107</v>
      </c>
      <c r="S17" s="729">
        <f t="shared" si="4"/>
        <v>501960.42214266525</v>
      </c>
      <c r="T17" s="729">
        <f t="shared" si="4"/>
        <v>502868.41664626915</v>
      </c>
      <c r="U17" s="729">
        <f t="shared" si="4"/>
        <v>505544.12720880477</v>
      </c>
      <c r="V17" s="729">
        <f t="shared" si="4"/>
        <v>503259.13488544209</v>
      </c>
    </row>
    <row r="18" spans="1:22" x14ac:dyDescent="0.25">
      <c r="A18" s="667" t="s">
        <v>70</v>
      </c>
      <c r="B18" s="667" t="s">
        <v>1316</v>
      </c>
      <c r="C18" s="667" t="s">
        <v>282</v>
      </c>
      <c r="D18" s="667" t="s">
        <v>1226</v>
      </c>
      <c r="E18" s="667">
        <v>2045</v>
      </c>
      <c r="F18" s="668">
        <v>31799.19058868504</v>
      </c>
      <c r="H18" s="676" t="s">
        <v>1321</v>
      </c>
      <c r="I18" s="675">
        <v>33046.648868548182</v>
      </c>
      <c r="J18" s="675">
        <v>36195.294034766383</v>
      </c>
      <c r="K18" s="675">
        <v>40334.515671451627</v>
      </c>
      <c r="L18" s="675">
        <v>40522.75894803369</v>
      </c>
      <c r="M18" s="675">
        <v>40452.239671626798</v>
      </c>
      <c r="N18" s="675">
        <v>40529.851955670238</v>
      </c>
      <c r="O18" s="675">
        <v>40495.974202742887</v>
      </c>
      <c r="P18" s="729">
        <f t="shared" ref="P18:P21" si="5">I18*$S$5</f>
        <v>525376.24229248893</v>
      </c>
      <c r="Q18" s="729">
        <f t="shared" si="4"/>
        <v>575433.4620826178</v>
      </c>
      <c r="R18" s="729">
        <f t="shared" si="4"/>
        <v>641238.88514223578</v>
      </c>
      <c r="S18" s="729">
        <f t="shared" si="4"/>
        <v>644231.58027694991</v>
      </c>
      <c r="T18" s="729">
        <f t="shared" si="4"/>
        <v>643110.46350062522</v>
      </c>
      <c r="U18" s="729">
        <f t="shared" si="4"/>
        <v>644344.34504512546</v>
      </c>
      <c r="V18" s="729">
        <f t="shared" si="4"/>
        <v>643805.75589494919</v>
      </c>
    </row>
    <row r="19" spans="1:22" x14ac:dyDescent="0.25">
      <c r="A19" s="667" t="s">
        <v>70</v>
      </c>
      <c r="B19" s="667" t="s">
        <v>1316</v>
      </c>
      <c r="C19" s="667" t="s">
        <v>282</v>
      </c>
      <c r="D19" s="667" t="s">
        <v>1226</v>
      </c>
      <c r="E19" s="667">
        <v>2050</v>
      </c>
      <c r="F19" s="668">
        <v>31655.462469864899</v>
      </c>
      <c r="H19" s="676" t="s">
        <v>1323</v>
      </c>
      <c r="I19" s="675">
        <v>34082.071857520023</v>
      </c>
      <c r="J19" s="675">
        <v>33307.879286745592</v>
      </c>
      <c r="K19" s="675">
        <v>33012.414457609862</v>
      </c>
      <c r="L19" s="675">
        <v>32789.596804194807</v>
      </c>
      <c r="M19" s="675">
        <v>32591.72361008263</v>
      </c>
      <c r="N19" s="675">
        <v>32476.058176192131</v>
      </c>
      <c r="O19" s="675">
        <v>32360.604806501378</v>
      </c>
      <c r="P19" s="729">
        <f t="shared" si="5"/>
        <v>541837.41635262244</v>
      </c>
      <c r="Q19" s="729">
        <f t="shared" si="4"/>
        <v>529529.28837080626</v>
      </c>
      <c r="R19" s="729">
        <f t="shared" si="4"/>
        <v>524831.98298657825</v>
      </c>
      <c r="S19" s="729">
        <f t="shared" si="4"/>
        <v>521289.62376179628</v>
      </c>
      <c r="T19" s="729">
        <f t="shared" si="4"/>
        <v>518143.8320179318</v>
      </c>
      <c r="U19" s="729">
        <f t="shared" si="4"/>
        <v>516304.98078486911</v>
      </c>
      <c r="V19" s="729">
        <f t="shared" si="4"/>
        <v>514469.50095242343</v>
      </c>
    </row>
    <row r="20" spans="1:22" x14ac:dyDescent="0.25">
      <c r="A20" s="667" t="s">
        <v>70</v>
      </c>
      <c r="B20" s="667" t="s">
        <v>1316</v>
      </c>
      <c r="C20" s="667" t="s">
        <v>1319</v>
      </c>
      <c r="D20" s="667" t="s">
        <v>1226</v>
      </c>
      <c r="E20" s="667">
        <v>2020</v>
      </c>
      <c r="F20" s="668">
        <v>30882.519974980161</v>
      </c>
      <c r="H20" s="676" t="s">
        <v>1117</v>
      </c>
      <c r="I20" s="675"/>
      <c r="J20" s="675">
        <v>42426.567287090344</v>
      </c>
      <c r="K20" s="675">
        <v>45179.551483243253</v>
      </c>
      <c r="L20" s="675">
        <v>44970.124278093477</v>
      </c>
      <c r="M20" s="675">
        <v>44830.995328423887</v>
      </c>
      <c r="N20" s="675">
        <v>44847.280231817698</v>
      </c>
      <c r="O20" s="675">
        <v>44752.312897437027</v>
      </c>
      <c r="P20" s="729">
        <f t="shared" si="5"/>
        <v>0</v>
      </c>
      <c r="Q20" s="729">
        <f t="shared" si="4"/>
        <v>674498.36088751385</v>
      </c>
      <c r="R20" s="729">
        <f t="shared" si="4"/>
        <v>718265.35516940535</v>
      </c>
      <c r="S20" s="729">
        <f t="shared" si="4"/>
        <v>714935.87754179258</v>
      </c>
      <c r="T20" s="729">
        <f t="shared" si="4"/>
        <v>712724.00289567444</v>
      </c>
      <c r="U20" s="729">
        <f t="shared" si="4"/>
        <v>712982.90059465647</v>
      </c>
      <c r="V20" s="729">
        <f t="shared" si="4"/>
        <v>711473.10813503631</v>
      </c>
    </row>
    <row r="21" spans="1:22" x14ac:dyDescent="0.25">
      <c r="A21" s="667" t="s">
        <v>70</v>
      </c>
      <c r="B21" s="667" t="s">
        <v>1316</v>
      </c>
      <c r="C21" s="667" t="s">
        <v>1319</v>
      </c>
      <c r="D21" s="667" t="s">
        <v>1226</v>
      </c>
      <c r="E21" s="667">
        <v>2025</v>
      </c>
      <c r="F21" s="668">
        <v>31126.34670531705</v>
      </c>
      <c r="H21" s="676" t="s">
        <v>1322</v>
      </c>
      <c r="I21" s="675">
        <v>40476</v>
      </c>
      <c r="J21" s="675">
        <v>34613.079007954562</v>
      </c>
      <c r="K21" s="675">
        <v>35665.17601899134</v>
      </c>
      <c r="L21" s="675">
        <v>33403.169661682958</v>
      </c>
      <c r="M21" s="675">
        <v>32811.580997352619</v>
      </c>
      <c r="N21" s="675">
        <v>31981.186715997039</v>
      </c>
      <c r="O21" s="675">
        <v>30972.672317599339</v>
      </c>
      <c r="P21" s="729">
        <f t="shared" si="5"/>
        <v>643488.20564585773</v>
      </c>
      <c r="Q21" s="729">
        <f t="shared" si="4"/>
        <v>550279.37796983367</v>
      </c>
      <c r="R21" s="729">
        <f t="shared" si="4"/>
        <v>567005.63594486646</v>
      </c>
      <c r="S21" s="729">
        <f t="shared" si="4"/>
        <v>531044.21653524355</v>
      </c>
      <c r="T21" s="729">
        <f t="shared" si="4"/>
        <v>521639.12887612806</v>
      </c>
      <c r="U21" s="729">
        <f t="shared" si="4"/>
        <v>508437.5050474868</v>
      </c>
      <c r="V21" s="729">
        <f t="shared" si="4"/>
        <v>492404.12426398677</v>
      </c>
    </row>
    <row r="22" spans="1:22" x14ac:dyDescent="0.25">
      <c r="A22" s="667" t="s">
        <v>70</v>
      </c>
      <c r="B22" s="667" t="s">
        <v>1316</v>
      </c>
      <c r="C22" s="667" t="s">
        <v>1319</v>
      </c>
      <c r="D22" s="667" t="s">
        <v>1226</v>
      </c>
      <c r="E22" s="667">
        <v>2030</v>
      </c>
      <c r="F22" s="668">
        <v>31424.915493633849</v>
      </c>
      <c r="H22" s="674" t="s">
        <v>1319</v>
      </c>
      <c r="I22" s="675"/>
      <c r="J22" s="675"/>
      <c r="K22" s="675"/>
      <c r="L22" s="675"/>
      <c r="M22" s="675"/>
      <c r="N22" s="675"/>
      <c r="O22" s="675"/>
      <c r="P22" s="728"/>
      <c r="Q22" s="728"/>
      <c r="R22" s="728"/>
      <c r="S22" s="728"/>
      <c r="T22" s="728"/>
      <c r="U22" s="728"/>
      <c r="V22" s="728"/>
    </row>
    <row r="23" spans="1:22" x14ac:dyDescent="0.25">
      <c r="A23" s="667" t="s">
        <v>70</v>
      </c>
      <c r="B23" s="667" t="s">
        <v>1316</v>
      </c>
      <c r="C23" s="667" t="s">
        <v>1319</v>
      </c>
      <c r="D23" s="667" t="s">
        <v>1226</v>
      </c>
      <c r="E23" s="667">
        <v>2035</v>
      </c>
      <c r="F23" s="668">
        <v>31628.26093048913</v>
      </c>
      <c r="H23" s="676" t="s">
        <v>70</v>
      </c>
      <c r="I23" s="675">
        <v>30882.519974980161</v>
      </c>
      <c r="J23" s="675">
        <v>31126.34670531705</v>
      </c>
      <c r="K23" s="675">
        <v>31424.915493633849</v>
      </c>
      <c r="L23" s="675">
        <v>31628.26093048913</v>
      </c>
      <c r="M23" s="675">
        <v>32429.515359170218</v>
      </c>
      <c r="N23" s="675">
        <v>31556.633745863641</v>
      </c>
      <c r="O23" s="675">
        <v>31556.47013599642</v>
      </c>
      <c r="P23" s="729">
        <f>I23*$S$5</f>
        <v>490970.88063351967</v>
      </c>
      <c r="Q23" s="729">
        <f t="shared" ref="Q23:V28" si="6">J23*$S$5</f>
        <v>494847.24255646119</v>
      </c>
      <c r="R23" s="729">
        <f t="shared" si="6"/>
        <v>499593.89474185096</v>
      </c>
      <c r="S23" s="729">
        <f t="shared" si="6"/>
        <v>502826.68430327694</v>
      </c>
      <c r="T23" s="729">
        <f t="shared" si="6"/>
        <v>515565.04220864776</v>
      </c>
      <c r="U23" s="729">
        <f t="shared" si="6"/>
        <v>501687.95398135477</v>
      </c>
      <c r="V23" s="729">
        <f t="shared" si="6"/>
        <v>501685.35290862317</v>
      </c>
    </row>
    <row r="24" spans="1:22" x14ac:dyDescent="0.25">
      <c r="A24" s="667" t="s">
        <v>70</v>
      </c>
      <c r="B24" s="667" t="s">
        <v>1316</v>
      </c>
      <c r="C24" s="667" t="s">
        <v>1319</v>
      </c>
      <c r="D24" s="667" t="s">
        <v>1226</v>
      </c>
      <c r="E24" s="667">
        <v>2040</v>
      </c>
      <c r="F24" s="668">
        <v>32429.515359170218</v>
      </c>
      <c r="H24" s="676" t="s">
        <v>1321</v>
      </c>
      <c r="I24" s="675">
        <v>30095</v>
      </c>
      <c r="J24" s="675">
        <v>29628</v>
      </c>
      <c r="K24" s="675">
        <v>29532</v>
      </c>
      <c r="L24" s="675">
        <v>29457</v>
      </c>
      <c r="M24" s="675">
        <v>29382</v>
      </c>
      <c r="N24" s="675">
        <v>31925.460580912859</v>
      </c>
      <c r="O24" s="675">
        <v>31879.739934826019</v>
      </c>
      <c r="P24" s="729">
        <f t="shared" ref="P24:P27" si="7">I24*$S$5</f>
        <v>478450.87333017314</v>
      </c>
      <c r="Q24" s="729">
        <f t="shared" si="6"/>
        <v>471026.49858868151</v>
      </c>
      <c r="R24" s="729">
        <f t="shared" si="6"/>
        <v>469500.28879171534</v>
      </c>
      <c r="S24" s="729">
        <f t="shared" si="6"/>
        <v>468307.93738783553</v>
      </c>
      <c r="T24" s="729">
        <f t="shared" si="6"/>
        <v>467115.58598395571</v>
      </c>
      <c r="U24" s="729">
        <f t="shared" si="6"/>
        <v>507551.56990881456</v>
      </c>
      <c r="V24" s="729">
        <f t="shared" si="6"/>
        <v>506824.70222150872</v>
      </c>
    </row>
    <row r="25" spans="1:22" x14ac:dyDescent="0.25">
      <c r="A25" s="667" t="s">
        <v>70</v>
      </c>
      <c r="B25" s="667" t="s">
        <v>1316</v>
      </c>
      <c r="C25" s="667" t="s">
        <v>1319</v>
      </c>
      <c r="D25" s="667" t="s">
        <v>1226</v>
      </c>
      <c r="E25" s="667">
        <v>2045</v>
      </c>
      <c r="F25" s="668">
        <v>31556.633745863641</v>
      </c>
      <c r="H25" s="676" t="s">
        <v>333</v>
      </c>
      <c r="I25" s="675"/>
      <c r="J25" s="675"/>
      <c r="K25" s="675"/>
      <c r="L25" s="675"/>
      <c r="M25" s="675"/>
      <c r="N25" s="675">
        <v>39017</v>
      </c>
      <c r="O25" s="675">
        <v>38944</v>
      </c>
      <c r="P25" s="729">
        <f t="shared" si="7"/>
        <v>0</v>
      </c>
      <c r="Q25" s="729">
        <f t="shared" si="6"/>
        <v>0</v>
      </c>
      <c r="R25" s="729">
        <f t="shared" si="6"/>
        <v>0</v>
      </c>
      <c r="S25" s="729">
        <f t="shared" si="6"/>
        <v>0</v>
      </c>
      <c r="T25" s="729">
        <f t="shared" si="6"/>
        <v>0</v>
      </c>
      <c r="U25" s="729">
        <f t="shared" si="6"/>
        <v>620292.99633571575</v>
      </c>
      <c r="V25" s="729">
        <f t="shared" si="6"/>
        <v>619132.44096927275</v>
      </c>
    </row>
    <row r="26" spans="1:22" x14ac:dyDescent="0.25">
      <c r="A26" s="667" t="s">
        <v>70</v>
      </c>
      <c r="B26" s="667" t="s">
        <v>1316</v>
      </c>
      <c r="C26" s="667" t="s">
        <v>1319</v>
      </c>
      <c r="D26" s="667" t="s">
        <v>1226</v>
      </c>
      <c r="E26" s="667">
        <v>2050</v>
      </c>
      <c r="F26" s="668">
        <v>31556.47013599642</v>
      </c>
      <c r="H26" s="676" t="s">
        <v>1323</v>
      </c>
      <c r="I26" s="675"/>
      <c r="J26" s="675">
        <v>36524</v>
      </c>
      <c r="K26" s="675">
        <v>35458.397283924423</v>
      </c>
      <c r="L26" s="675">
        <v>35262.018263581384</v>
      </c>
      <c r="M26" s="675">
        <v>35065.190593039013</v>
      </c>
      <c r="N26" s="675">
        <v>35174.893440238528</v>
      </c>
      <c r="O26" s="675">
        <v>35058.630662371652</v>
      </c>
      <c r="P26" s="729">
        <f t="shared" si="7"/>
        <v>0</v>
      </c>
      <c r="Q26" s="729">
        <f t="shared" si="6"/>
        <v>580659.23567075073</v>
      </c>
      <c r="R26" s="729">
        <f t="shared" si="6"/>
        <v>563718.26374420605</v>
      </c>
      <c r="S26" s="729">
        <f t="shared" si="6"/>
        <v>560596.2264028918</v>
      </c>
      <c r="T26" s="729">
        <f t="shared" si="6"/>
        <v>557467.05641231057</v>
      </c>
      <c r="U26" s="729">
        <f t="shared" si="6"/>
        <v>559211.11433054996</v>
      </c>
      <c r="V26" s="729">
        <f t="shared" si="6"/>
        <v>557362.7665117695</v>
      </c>
    </row>
    <row r="27" spans="1:22" x14ac:dyDescent="0.25">
      <c r="A27" s="667" t="s">
        <v>1117</v>
      </c>
      <c r="B27" s="667" t="s">
        <v>1316</v>
      </c>
      <c r="C27" s="667" t="s">
        <v>1317</v>
      </c>
      <c r="D27" s="667" t="s">
        <v>1226</v>
      </c>
      <c r="E27" s="667">
        <v>2020</v>
      </c>
      <c r="F27" s="668">
        <v>27749.448105028481</v>
      </c>
      <c r="H27" s="676" t="s">
        <v>1117</v>
      </c>
      <c r="I27" s="675"/>
      <c r="J27" s="675"/>
      <c r="K27" s="675"/>
      <c r="L27" s="675"/>
      <c r="M27" s="675"/>
      <c r="N27" s="675">
        <v>41010</v>
      </c>
      <c r="O27" s="675">
        <v>40820</v>
      </c>
      <c r="P27" s="729">
        <f t="shared" si="7"/>
        <v>0</v>
      </c>
      <c r="Q27" s="729">
        <f t="shared" si="6"/>
        <v>0</v>
      </c>
      <c r="R27" s="729">
        <f t="shared" si="6"/>
        <v>0</v>
      </c>
      <c r="S27" s="729">
        <f t="shared" si="6"/>
        <v>0</v>
      </c>
      <c r="T27" s="729">
        <f t="shared" si="6"/>
        <v>0</v>
      </c>
      <c r="U27" s="729">
        <f t="shared" si="6"/>
        <v>651977.74764148204</v>
      </c>
      <c r="V27" s="729">
        <f t="shared" si="6"/>
        <v>648957.12408498651</v>
      </c>
    </row>
    <row r="28" spans="1:22" x14ac:dyDescent="0.25">
      <c r="A28" s="667" t="s">
        <v>1117</v>
      </c>
      <c r="B28" s="667" t="s">
        <v>1316</v>
      </c>
      <c r="C28" s="667" t="s">
        <v>1317</v>
      </c>
      <c r="D28" s="667" t="s">
        <v>1226</v>
      </c>
      <c r="E28" s="667">
        <v>2025</v>
      </c>
      <c r="F28" s="668">
        <v>27675</v>
      </c>
      <c r="H28" s="676" t="s">
        <v>1322</v>
      </c>
      <c r="I28" s="675"/>
      <c r="J28" s="675"/>
      <c r="K28" s="675"/>
      <c r="L28" s="675"/>
      <c r="M28" s="675"/>
      <c r="N28" s="675">
        <v>39096.818827178897</v>
      </c>
      <c r="O28" s="675">
        <v>37948.063431501127</v>
      </c>
      <c r="P28" s="729">
        <f>I28*$S$5</f>
        <v>0</v>
      </c>
      <c r="Q28" s="729">
        <f t="shared" si="6"/>
        <v>0</v>
      </c>
      <c r="R28" s="729">
        <f t="shared" si="6"/>
        <v>0</v>
      </c>
      <c r="S28" s="729">
        <f t="shared" si="6"/>
        <v>0</v>
      </c>
      <c r="T28" s="729">
        <f t="shared" si="6"/>
        <v>0</v>
      </c>
      <c r="U28" s="729">
        <f t="shared" si="6"/>
        <v>621561.95754428639</v>
      </c>
      <c r="V28" s="729">
        <f t="shared" si="6"/>
        <v>603299.02276094106</v>
      </c>
    </row>
    <row r="29" spans="1:22" x14ac:dyDescent="0.25">
      <c r="A29" s="667" t="s">
        <v>1117</v>
      </c>
      <c r="B29" s="667" t="s">
        <v>1316</v>
      </c>
      <c r="C29" s="667" t="s">
        <v>1317</v>
      </c>
      <c r="D29" s="667" t="s">
        <v>1226</v>
      </c>
      <c r="E29" s="667">
        <v>2030</v>
      </c>
      <c r="F29" s="668">
        <v>27543.580796252929</v>
      </c>
    </row>
    <row r="30" spans="1:22" x14ac:dyDescent="0.25">
      <c r="A30" s="667" t="s">
        <v>1117</v>
      </c>
      <c r="B30" s="667" t="s">
        <v>1316</v>
      </c>
      <c r="C30" s="667" t="s">
        <v>1317</v>
      </c>
      <c r="D30" s="667" t="s">
        <v>1226</v>
      </c>
      <c r="E30" s="667">
        <v>2035</v>
      </c>
      <c r="F30" s="668">
        <v>27404.035789473681</v>
      </c>
      <c r="H30" s="664" t="s">
        <v>1324</v>
      </c>
    </row>
    <row r="31" spans="1:22" x14ac:dyDescent="0.25">
      <c r="A31" s="667" t="s">
        <v>1117</v>
      </c>
      <c r="B31" s="667" t="s">
        <v>1316</v>
      </c>
      <c r="C31" s="667" t="s">
        <v>282</v>
      </c>
      <c r="D31" s="667" t="s">
        <v>1226</v>
      </c>
      <c r="E31" s="667">
        <v>2025</v>
      </c>
      <c r="F31" s="668">
        <v>42426.567287090344</v>
      </c>
      <c r="H31" s="664" t="s">
        <v>1317</v>
      </c>
    </row>
    <row r="32" spans="1:22" x14ac:dyDescent="0.25">
      <c r="A32" s="667" t="s">
        <v>1117</v>
      </c>
      <c r="B32" s="667" t="s">
        <v>1316</v>
      </c>
      <c r="C32" s="667" t="s">
        <v>282</v>
      </c>
      <c r="D32" s="667" t="s">
        <v>1226</v>
      </c>
      <c r="E32" s="667">
        <v>2030</v>
      </c>
      <c r="F32" s="668">
        <v>45179.551483243253</v>
      </c>
      <c r="H32" s="664" t="s">
        <v>1325</v>
      </c>
    </row>
    <row r="33" spans="1:8" x14ac:dyDescent="0.25">
      <c r="A33" s="667" t="s">
        <v>1117</v>
      </c>
      <c r="B33" s="667" t="s">
        <v>1316</v>
      </c>
      <c r="C33" s="667" t="s">
        <v>282</v>
      </c>
      <c r="D33" s="667" t="s">
        <v>1226</v>
      </c>
      <c r="E33" s="667">
        <v>2035</v>
      </c>
      <c r="F33" s="668">
        <v>44970.124278093477</v>
      </c>
      <c r="H33" s="664" t="s">
        <v>1319</v>
      </c>
    </row>
    <row r="34" spans="1:8" x14ac:dyDescent="0.25">
      <c r="A34" s="667" t="s">
        <v>1117</v>
      </c>
      <c r="B34" s="667" t="s">
        <v>1316</v>
      </c>
      <c r="C34" s="667" t="s">
        <v>282</v>
      </c>
      <c r="D34" s="667" t="s">
        <v>1226</v>
      </c>
      <c r="E34" s="667">
        <v>2040</v>
      </c>
      <c r="F34" s="668">
        <v>44830.995328423887</v>
      </c>
    </row>
    <row r="35" spans="1:8" x14ac:dyDescent="0.25">
      <c r="A35" s="667" t="s">
        <v>1117</v>
      </c>
      <c r="B35" s="667" t="s">
        <v>1316</v>
      </c>
      <c r="C35" s="667" t="s">
        <v>282</v>
      </c>
      <c r="D35" s="667" t="s">
        <v>1226</v>
      </c>
      <c r="E35" s="667">
        <v>2045</v>
      </c>
      <c r="F35" s="668">
        <v>44847.280231817698</v>
      </c>
    </row>
    <row r="36" spans="1:8" x14ac:dyDescent="0.25">
      <c r="A36" s="667" t="s">
        <v>1117</v>
      </c>
      <c r="B36" s="667" t="s">
        <v>1316</v>
      </c>
      <c r="C36" s="667" t="s">
        <v>282</v>
      </c>
      <c r="D36" s="667" t="s">
        <v>1226</v>
      </c>
      <c r="E36" s="667">
        <v>2050</v>
      </c>
      <c r="F36" s="668">
        <v>44752.312897437027</v>
      </c>
    </row>
    <row r="37" spans="1:8" x14ac:dyDescent="0.25">
      <c r="A37" s="667" t="s">
        <v>1117</v>
      </c>
      <c r="B37" s="667" t="s">
        <v>1316</v>
      </c>
      <c r="C37" s="667" t="s">
        <v>1319</v>
      </c>
      <c r="D37" s="667" t="s">
        <v>1226</v>
      </c>
      <c r="E37" s="667">
        <v>2045</v>
      </c>
      <c r="F37" s="668">
        <v>41010</v>
      </c>
    </row>
    <row r="38" spans="1:8" x14ac:dyDescent="0.25">
      <c r="A38" s="667" t="s">
        <v>1117</v>
      </c>
      <c r="B38" s="667" t="s">
        <v>1316</v>
      </c>
      <c r="C38" s="667" t="s">
        <v>1319</v>
      </c>
      <c r="D38" s="667" t="s">
        <v>1226</v>
      </c>
      <c r="E38" s="667">
        <v>2050</v>
      </c>
      <c r="F38" s="668">
        <v>40820</v>
      </c>
    </row>
    <row r="39" spans="1:8" x14ac:dyDescent="0.25">
      <c r="A39" s="667" t="s">
        <v>1322</v>
      </c>
      <c r="B39" s="667" t="s">
        <v>1316</v>
      </c>
      <c r="C39" s="667" t="s">
        <v>1317</v>
      </c>
      <c r="D39" s="667" t="s">
        <v>1226</v>
      </c>
      <c r="E39" s="667">
        <v>2025</v>
      </c>
      <c r="F39" s="668">
        <v>26653</v>
      </c>
    </row>
    <row r="40" spans="1:8" x14ac:dyDescent="0.25">
      <c r="A40" s="667" t="s">
        <v>1322</v>
      </c>
      <c r="B40" s="667" t="s">
        <v>1316</v>
      </c>
      <c r="C40" s="667" t="s">
        <v>1317</v>
      </c>
      <c r="D40" s="667" t="s">
        <v>1226</v>
      </c>
      <c r="E40" s="667">
        <v>2030</v>
      </c>
      <c r="F40" s="668">
        <v>24411.007637294719</v>
      </c>
    </row>
    <row r="41" spans="1:8" x14ac:dyDescent="0.25">
      <c r="A41" s="667" t="s">
        <v>1322</v>
      </c>
      <c r="B41" s="667" t="s">
        <v>1316</v>
      </c>
      <c r="C41" s="667" t="s">
        <v>1317</v>
      </c>
      <c r="D41" s="667" t="s">
        <v>1226</v>
      </c>
      <c r="E41" s="667">
        <v>2035</v>
      </c>
      <c r="F41" s="668">
        <v>22338.12086371284</v>
      </c>
    </row>
    <row r="42" spans="1:8" x14ac:dyDescent="0.25">
      <c r="A42" s="667" t="s">
        <v>1322</v>
      </c>
      <c r="B42" s="667" t="s">
        <v>1316</v>
      </c>
      <c r="C42" s="667" t="s">
        <v>1317</v>
      </c>
      <c r="D42" s="667" t="s">
        <v>1226</v>
      </c>
      <c r="E42" s="667">
        <v>2040</v>
      </c>
      <c r="F42" s="668">
        <v>21530.50140451773</v>
      </c>
    </row>
    <row r="43" spans="1:8" x14ac:dyDescent="0.25">
      <c r="A43" s="667" t="s">
        <v>1322</v>
      </c>
      <c r="B43" s="667" t="s">
        <v>1316</v>
      </c>
      <c r="C43" s="667" t="s">
        <v>1317</v>
      </c>
      <c r="D43" s="667" t="s">
        <v>1226</v>
      </c>
      <c r="E43" s="667">
        <v>2045</v>
      </c>
      <c r="F43" s="668">
        <v>20799.266196917481</v>
      </c>
    </row>
    <row r="44" spans="1:8" x14ac:dyDescent="0.25">
      <c r="A44" s="667" t="s">
        <v>1322</v>
      </c>
      <c r="B44" s="667" t="s">
        <v>1316</v>
      </c>
      <c r="C44" s="667" t="s">
        <v>1317</v>
      </c>
      <c r="D44" s="667" t="s">
        <v>1226</v>
      </c>
      <c r="E44" s="667">
        <v>2050</v>
      </c>
      <c r="F44" s="668">
        <v>21517</v>
      </c>
    </row>
    <row r="45" spans="1:8" x14ac:dyDescent="0.25">
      <c r="A45" s="667" t="s">
        <v>1322</v>
      </c>
      <c r="B45" s="667" t="s">
        <v>1316</v>
      </c>
      <c r="C45" s="667" t="s">
        <v>282</v>
      </c>
      <c r="D45" s="667" t="s">
        <v>1226</v>
      </c>
      <c r="E45" s="667">
        <v>2020</v>
      </c>
      <c r="F45" s="668">
        <v>40476</v>
      </c>
    </row>
    <row r="46" spans="1:8" x14ac:dyDescent="0.25">
      <c r="A46" s="667" t="s">
        <v>1322</v>
      </c>
      <c r="B46" s="667" t="s">
        <v>1316</v>
      </c>
      <c r="C46" s="667" t="s">
        <v>282</v>
      </c>
      <c r="D46" s="667" t="s">
        <v>1226</v>
      </c>
      <c r="E46" s="667">
        <v>2025</v>
      </c>
      <c r="F46" s="668">
        <v>34613.079007954562</v>
      </c>
    </row>
    <row r="47" spans="1:8" x14ac:dyDescent="0.25">
      <c r="A47" s="667" t="s">
        <v>1322</v>
      </c>
      <c r="B47" s="667" t="s">
        <v>1316</v>
      </c>
      <c r="C47" s="667" t="s">
        <v>282</v>
      </c>
      <c r="D47" s="667" t="s">
        <v>1226</v>
      </c>
      <c r="E47" s="667">
        <v>2030</v>
      </c>
      <c r="F47" s="668">
        <v>35665.17601899134</v>
      </c>
    </row>
    <row r="48" spans="1:8" x14ac:dyDescent="0.25">
      <c r="A48" s="667" t="s">
        <v>1322</v>
      </c>
      <c r="B48" s="667" t="s">
        <v>1316</v>
      </c>
      <c r="C48" s="667" t="s">
        <v>282</v>
      </c>
      <c r="D48" s="667" t="s">
        <v>1226</v>
      </c>
      <c r="E48" s="667">
        <v>2035</v>
      </c>
      <c r="F48" s="668">
        <v>33403.169661682958</v>
      </c>
    </row>
    <row r="49" spans="1:6" x14ac:dyDescent="0.25">
      <c r="A49" s="667" t="s">
        <v>1322</v>
      </c>
      <c r="B49" s="667" t="s">
        <v>1316</v>
      </c>
      <c r="C49" s="667" t="s">
        <v>282</v>
      </c>
      <c r="D49" s="667" t="s">
        <v>1226</v>
      </c>
      <c r="E49" s="667">
        <v>2040</v>
      </c>
      <c r="F49" s="668">
        <v>32811.580997352619</v>
      </c>
    </row>
    <row r="50" spans="1:6" x14ac:dyDescent="0.25">
      <c r="A50" s="667" t="s">
        <v>1322</v>
      </c>
      <c r="B50" s="667" t="s">
        <v>1316</v>
      </c>
      <c r="C50" s="667" t="s">
        <v>282</v>
      </c>
      <c r="D50" s="667" t="s">
        <v>1226</v>
      </c>
      <c r="E50" s="667">
        <v>2045</v>
      </c>
      <c r="F50" s="668">
        <v>31981.186715997039</v>
      </c>
    </row>
    <row r="51" spans="1:6" x14ac:dyDescent="0.25">
      <c r="A51" s="667" t="s">
        <v>1322</v>
      </c>
      <c r="B51" s="667" t="s">
        <v>1316</v>
      </c>
      <c r="C51" s="667" t="s">
        <v>282</v>
      </c>
      <c r="D51" s="667" t="s">
        <v>1226</v>
      </c>
      <c r="E51" s="667">
        <v>2050</v>
      </c>
      <c r="F51" s="668">
        <v>30972.672317599339</v>
      </c>
    </row>
    <row r="52" spans="1:6" x14ac:dyDescent="0.25">
      <c r="A52" s="667" t="s">
        <v>1322</v>
      </c>
      <c r="B52" s="667" t="s">
        <v>1316</v>
      </c>
      <c r="C52" s="667" t="s">
        <v>1319</v>
      </c>
      <c r="D52" s="667" t="s">
        <v>1226</v>
      </c>
      <c r="E52" s="667">
        <v>2045</v>
      </c>
      <c r="F52" s="668">
        <v>39096.818827178897</v>
      </c>
    </row>
    <row r="53" spans="1:6" x14ac:dyDescent="0.25">
      <c r="A53" s="667" t="s">
        <v>1322</v>
      </c>
      <c r="B53" s="667" t="s">
        <v>1316</v>
      </c>
      <c r="C53" s="667" t="s">
        <v>1319</v>
      </c>
      <c r="D53" s="667" t="s">
        <v>1226</v>
      </c>
      <c r="E53" s="667">
        <v>2050</v>
      </c>
      <c r="F53" s="668">
        <v>37948.063431501127</v>
      </c>
    </row>
    <row r="54" spans="1:6" x14ac:dyDescent="0.25">
      <c r="A54" s="667" t="s">
        <v>1321</v>
      </c>
      <c r="B54" s="667" t="s">
        <v>1316</v>
      </c>
      <c r="C54" s="667" t="s">
        <v>1317</v>
      </c>
      <c r="D54" s="667" t="s">
        <v>1226</v>
      </c>
      <c r="E54" s="667">
        <v>2020</v>
      </c>
      <c r="F54" s="668">
        <v>24948.431767753111</v>
      </c>
    </row>
    <row r="55" spans="1:6" x14ac:dyDescent="0.25">
      <c r="A55" s="667" t="s">
        <v>1321</v>
      </c>
      <c r="B55" s="667" t="s">
        <v>1316</v>
      </c>
      <c r="C55" s="667" t="s">
        <v>1317</v>
      </c>
      <c r="D55" s="667" t="s">
        <v>1226</v>
      </c>
      <c r="E55" s="667">
        <v>2025</v>
      </c>
      <c r="F55" s="668">
        <v>23662.889070231071</v>
      </c>
    </row>
    <row r="56" spans="1:6" x14ac:dyDescent="0.25">
      <c r="A56" s="667" t="s">
        <v>1321</v>
      </c>
      <c r="B56" s="667" t="s">
        <v>1316</v>
      </c>
      <c r="C56" s="667" t="s">
        <v>1317</v>
      </c>
      <c r="D56" s="667" t="s">
        <v>1226</v>
      </c>
      <c r="E56" s="667">
        <v>2030</v>
      </c>
      <c r="F56" s="668">
        <v>24145.933038751489</v>
      </c>
    </row>
    <row r="57" spans="1:6" x14ac:dyDescent="0.25">
      <c r="A57" s="667" t="s">
        <v>1321</v>
      </c>
      <c r="B57" s="667" t="s">
        <v>1316</v>
      </c>
      <c r="C57" s="667" t="s">
        <v>1317</v>
      </c>
      <c r="D57" s="667" t="s">
        <v>1226</v>
      </c>
      <c r="E57" s="667">
        <v>2035</v>
      </c>
      <c r="F57" s="668">
        <v>24016.43249726417</v>
      </c>
    </row>
    <row r="58" spans="1:6" x14ac:dyDescent="0.25">
      <c r="A58" s="667" t="s">
        <v>1321</v>
      </c>
      <c r="B58" s="667" t="s">
        <v>1316</v>
      </c>
      <c r="C58" s="667" t="s">
        <v>1317</v>
      </c>
      <c r="D58" s="667" t="s">
        <v>1226</v>
      </c>
      <c r="E58" s="667">
        <v>2040</v>
      </c>
      <c r="F58" s="668">
        <v>23937.966112486731</v>
      </c>
    </row>
    <row r="59" spans="1:6" x14ac:dyDescent="0.25">
      <c r="A59" s="667" t="s">
        <v>1321</v>
      </c>
      <c r="B59" s="667" t="s">
        <v>1316</v>
      </c>
      <c r="C59" s="667" t="s">
        <v>1317</v>
      </c>
      <c r="D59" s="667" t="s">
        <v>1226</v>
      </c>
      <c r="E59" s="667">
        <v>2045</v>
      </c>
      <c r="F59" s="668">
        <v>23059.2950808286</v>
      </c>
    </row>
    <row r="60" spans="1:6" x14ac:dyDescent="0.25">
      <c r="A60" s="667" t="s">
        <v>1321</v>
      </c>
      <c r="B60" s="667" t="s">
        <v>1316</v>
      </c>
      <c r="C60" s="667" t="s">
        <v>1317</v>
      </c>
      <c r="D60" s="667" t="s">
        <v>1226</v>
      </c>
      <c r="E60" s="667">
        <v>2050</v>
      </c>
      <c r="F60" s="668">
        <v>22682.180285375129</v>
      </c>
    </row>
    <row r="61" spans="1:6" x14ac:dyDescent="0.25">
      <c r="A61" s="667" t="s">
        <v>1321</v>
      </c>
      <c r="B61" s="667" t="s">
        <v>1316</v>
      </c>
      <c r="C61" s="667" t="s">
        <v>282</v>
      </c>
      <c r="D61" s="667" t="s">
        <v>1226</v>
      </c>
      <c r="E61" s="667">
        <v>2020</v>
      </c>
      <c r="F61" s="668">
        <v>33046.648868548182</v>
      </c>
    </row>
    <row r="62" spans="1:6" x14ac:dyDescent="0.25">
      <c r="A62" s="667" t="s">
        <v>1321</v>
      </c>
      <c r="B62" s="667" t="s">
        <v>1316</v>
      </c>
      <c r="C62" s="667" t="s">
        <v>282</v>
      </c>
      <c r="D62" s="667" t="s">
        <v>1226</v>
      </c>
      <c r="E62" s="667">
        <v>2025</v>
      </c>
      <c r="F62" s="668">
        <v>36195.294034766383</v>
      </c>
    </row>
    <row r="63" spans="1:6" x14ac:dyDescent="0.25">
      <c r="A63" s="667" t="s">
        <v>1321</v>
      </c>
      <c r="B63" s="667" t="s">
        <v>1316</v>
      </c>
      <c r="C63" s="667" t="s">
        <v>282</v>
      </c>
      <c r="D63" s="667" t="s">
        <v>1226</v>
      </c>
      <c r="E63" s="667">
        <v>2030</v>
      </c>
      <c r="F63" s="668">
        <v>40334.515671451627</v>
      </c>
    </row>
    <row r="64" spans="1:6" x14ac:dyDescent="0.25">
      <c r="A64" s="667" t="s">
        <v>1321</v>
      </c>
      <c r="B64" s="667" t="s">
        <v>1316</v>
      </c>
      <c r="C64" s="667" t="s">
        <v>282</v>
      </c>
      <c r="D64" s="667" t="s">
        <v>1226</v>
      </c>
      <c r="E64" s="667">
        <v>2035</v>
      </c>
      <c r="F64" s="668">
        <v>40522.75894803369</v>
      </c>
    </row>
    <row r="65" spans="1:6" x14ac:dyDescent="0.25">
      <c r="A65" s="667" t="s">
        <v>1321</v>
      </c>
      <c r="B65" s="667" t="s">
        <v>1316</v>
      </c>
      <c r="C65" s="667" t="s">
        <v>282</v>
      </c>
      <c r="D65" s="667" t="s">
        <v>1226</v>
      </c>
      <c r="E65" s="667">
        <v>2040</v>
      </c>
      <c r="F65" s="668">
        <v>40452.239671626798</v>
      </c>
    </row>
    <row r="66" spans="1:6" x14ac:dyDescent="0.25">
      <c r="A66" s="667" t="s">
        <v>1321</v>
      </c>
      <c r="B66" s="667" t="s">
        <v>1316</v>
      </c>
      <c r="C66" s="667" t="s">
        <v>282</v>
      </c>
      <c r="D66" s="667" t="s">
        <v>1226</v>
      </c>
      <c r="E66" s="667">
        <v>2045</v>
      </c>
      <c r="F66" s="668">
        <v>40529.851955670238</v>
      </c>
    </row>
    <row r="67" spans="1:6" x14ac:dyDescent="0.25">
      <c r="A67" s="667" t="s">
        <v>1321</v>
      </c>
      <c r="B67" s="667" t="s">
        <v>1316</v>
      </c>
      <c r="C67" s="667" t="s">
        <v>282</v>
      </c>
      <c r="D67" s="667" t="s">
        <v>1226</v>
      </c>
      <c r="E67" s="667">
        <v>2050</v>
      </c>
      <c r="F67" s="668">
        <v>40495.974202742887</v>
      </c>
    </row>
    <row r="68" spans="1:6" x14ac:dyDescent="0.25">
      <c r="A68" s="667" t="s">
        <v>1321</v>
      </c>
      <c r="B68" s="667" t="s">
        <v>1316</v>
      </c>
      <c r="C68" s="667" t="s">
        <v>1319</v>
      </c>
      <c r="D68" s="667" t="s">
        <v>1226</v>
      </c>
      <c r="E68" s="667">
        <v>2020</v>
      </c>
      <c r="F68" s="668">
        <v>30095</v>
      </c>
    </row>
    <row r="69" spans="1:6" x14ac:dyDescent="0.25">
      <c r="A69" s="667" t="s">
        <v>1321</v>
      </c>
      <c r="B69" s="667" t="s">
        <v>1316</v>
      </c>
      <c r="C69" s="667" t="s">
        <v>1319</v>
      </c>
      <c r="D69" s="667" t="s">
        <v>1226</v>
      </c>
      <c r="E69" s="667">
        <v>2025</v>
      </c>
      <c r="F69" s="668">
        <v>29628</v>
      </c>
    </row>
    <row r="70" spans="1:6" x14ac:dyDescent="0.25">
      <c r="A70" s="667" t="s">
        <v>1321</v>
      </c>
      <c r="B70" s="667" t="s">
        <v>1316</v>
      </c>
      <c r="C70" s="667" t="s">
        <v>1319</v>
      </c>
      <c r="D70" s="667" t="s">
        <v>1226</v>
      </c>
      <c r="E70" s="667">
        <v>2030</v>
      </c>
      <c r="F70" s="668">
        <v>29532</v>
      </c>
    </row>
    <row r="71" spans="1:6" x14ac:dyDescent="0.25">
      <c r="A71" s="667" t="s">
        <v>1321</v>
      </c>
      <c r="B71" s="667" t="s">
        <v>1316</v>
      </c>
      <c r="C71" s="667" t="s">
        <v>1319</v>
      </c>
      <c r="D71" s="667" t="s">
        <v>1226</v>
      </c>
      <c r="E71" s="667">
        <v>2035</v>
      </c>
      <c r="F71" s="668">
        <v>29457</v>
      </c>
    </row>
    <row r="72" spans="1:6" x14ac:dyDescent="0.25">
      <c r="A72" s="667" t="s">
        <v>1321</v>
      </c>
      <c r="B72" s="667" t="s">
        <v>1316</v>
      </c>
      <c r="C72" s="667" t="s">
        <v>1319</v>
      </c>
      <c r="D72" s="667" t="s">
        <v>1226</v>
      </c>
      <c r="E72" s="667">
        <v>2040</v>
      </c>
      <c r="F72" s="668">
        <v>29382</v>
      </c>
    </row>
    <row r="73" spans="1:6" x14ac:dyDescent="0.25">
      <c r="A73" s="667" t="s">
        <v>1321</v>
      </c>
      <c r="B73" s="667" t="s">
        <v>1316</v>
      </c>
      <c r="C73" s="667" t="s">
        <v>1319</v>
      </c>
      <c r="D73" s="667" t="s">
        <v>1226</v>
      </c>
      <c r="E73" s="667">
        <v>2045</v>
      </c>
      <c r="F73" s="668">
        <v>31925.460580912859</v>
      </c>
    </row>
    <row r="74" spans="1:6" x14ac:dyDescent="0.25">
      <c r="A74" s="667" t="s">
        <v>1321</v>
      </c>
      <c r="B74" s="667" t="s">
        <v>1316</v>
      </c>
      <c r="C74" s="667" t="s">
        <v>1319</v>
      </c>
      <c r="D74" s="667" t="s">
        <v>1226</v>
      </c>
      <c r="E74" s="667">
        <v>2050</v>
      </c>
      <c r="F74" s="668">
        <v>31879.739934826019</v>
      </c>
    </row>
    <row r="75" spans="1:6" x14ac:dyDescent="0.25">
      <c r="A75" s="667" t="s">
        <v>1323</v>
      </c>
      <c r="B75" s="667" t="s">
        <v>1316</v>
      </c>
      <c r="C75" s="667" t="s">
        <v>282</v>
      </c>
      <c r="D75" s="667" t="s">
        <v>1226</v>
      </c>
      <c r="E75" s="667">
        <v>2020</v>
      </c>
      <c r="F75" s="668">
        <v>34082.071857520023</v>
      </c>
    </row>
    <row r="76" spans="1:6" x14ac:dyDescent="0.25">
      <c r="A76" s="667" t="s">
        <v>1323</v>
      </c>
      <c r="B76" s="667" t="s">
        <v>1316</v>
      </c>
      <c r="C76" s="667" t="s">
        <v>282</v>
      </c>
      <c r="D76" s="667" t="s">
        <v>1226</v>
      </c>
      <c r="E76" s="667">
        <v>2025</v>
      </c>
      <c r="F76" s="668">
        <v>33307.879286745592</v>
      </c>
    </row>
    <row r="77" spans="1:6" x14ac:dyDescent="0.25">
      <c r="A77" s="667" t="s">
        <v>1323</v>
      </c>
      <c r="B77" s="667" t="s">
        <v>1316</v>
      </c>
      <c r="C77" s="667" t="s">
        <v>282</v>
      </c>
      <c r="D77" s="667" t="s">
        <v>1226</v>
      </c>
      <c r="E77" s="667">
        <v>2030</v>
      </c>
      <c r="F77" s="668">
        <v>33012.414457609862</v>
      </c>
    </row>
    <row r="78" spans="1:6" x14ac:dyDescent="0.25">
      <c r="A78" s="667" t="s">
        <v>1323</v>
      </c>
      <c r="B78" s="667" t="s">
        <v>1316</v>
      </c>
      <c r="C78" s="667" t="s">
        <v>282</v>
      </c>
      <c r="D78" s="667" t="s">
        <v>1226</v>
      </c>
      <c r="E78" s="667">
        <v>2035</v>
      </c>
      <c r="F78" s="668">
        <v>32789.596804194807</v>
      </c>
    </row>
    <row r="79" spans="1:6" x14ac:dyDescent="0.25">
      <c r="A79" s="667" t="s">
        <v>1323</v>
      </c>
      <c r="B79" s="667" t="s">
        <v>1316</v>
      </c>
      <c r="C79" s="667" t="s">
        <v>282</v>
      </c>
      <c r="D79" s="667" t="s">
        <v>1226</v>
      </c>
      <c r="E79" s="667">
        <v>2040</v>
      </c>
      <c r="F79" s="668">
        <v>32591.72361008263</v>
      </c>
    </row>
    <row r="80" spans="1:6" x14ac:dyDescent="0.25">
      <c r="A80" s="667" t="s">
        <v>1323</v>
      </c>
      <c r="B80" s="667" t="s">
        <v>1316</v>
      </c>
      <c r="C80" s="667" t="s">
        <v>282</v>
      </c>
      <c r="D80" s="667" t="s">
        <v>1226</v>
      </c>
      <c r="E80" s="667">
        <v>2045</v>
      </c>
      <c r="F80" s="668">
        <v>32476.058176192131</v>
      </c>
    </row>
    <row r="81" spans="1:6" x14ac:dyDescent="0.25">
      <c r="A81" s="667" t="s">
        <v>1323</v>
      </c>
      <c r="B81" s="667" t="s">
        <v>1316</v>
      </c>
      <c r="C81" s="667" t="s">
        <v>282</v>
      </c>
      <c r="D81" s="667" t="s">
        <v>1226</v>
      </c>
      <c r="E81" s="667">
        <v>2050</v>
      </c>
      <c r="F81" s="668">
        <v>32360.604806501378</v>
      </c>
    </row>
    <row r="82" spans="1:6" x14ac:dyDescent="0.25">
      <c r="A82" s="667" t="s">
        <v>1323</v>
      </c>
      <c r="B82" s="667" t="s">
        <v>1316</v>
      </c>
      <c r="C82" s="667" t="s">
        <v>1319</v>
      </c>
      <c r="D82" s="667" t="s">
        <v>1226</v>
      </c>
      <c r="E82" s="667">
        <v>2025</v>
      </c>
      <c r="F82" s="668">
        <v>36524</v>
      </c>
    </row>
    <row r="83" spans="1:6" x14ac:dyDescent="0.25">
      <c r="A83" s="667" t="s">
        <v>1323</v>
      </c>
      <c r="B83" s="667" t="s">
        <v>1316</v>
      </c>
      <c r="C83" s="667" t="s">
        <v>1319</v>
      </c>
      <c r="D83" s="667" t="s">
        <v>1226</v>
      </c>
      <c r="E83" s="667">
        <v>2030</v>
      </c>
      <c r="F83" s="668">
        <v>35458.397283924423</v>
      </c>
    </row>
    <row r="84" spans="1:6" x14ac:dyDescent="0.25">
      <c r="A84" s="667" t="s">
        <v>1323</v>
      </c>
      <c r="B84" s="667" t="s">
        <v>1316</v>
      </c>
      <c r="C84" s="667" t="s">
        <v>1319</v>
      </c>
      <c r="D84" s="667" t="s">
        <v>1226</v>
      </c>
      <c r="E84" s="667">
        <v>2035</v>
      </c>
      <c r="F84" s="668">
        <v>35262.018263581384</v>
      </c>
    </row>
    <row r="85" spans="1:6" x14ac:dyDescent="0.25">
      <c r="A85" s="667" t="s">
        <v>1323</v>
      </c>
      <c r="B85" s="667" t="s">
        <v>1316</v>
      </c>
      <c r="C85" s="667" t="s">
        <v>1319</v>
      </c>
      <c r="D85" s="667" t="s">
        <v>1226</v>
      </c>
      <c r="E85" s="667">
        <v>2040</v>
      </c>
      <c r="F85" s="668">
        <v>35065.190593039013</v>
      </c>
    </row>
    <row r="86" spans="1:6" x14ac:dyDescent="0.25">
      <c r="A86" s="667" t="s">
        <v>1323</v>
      </c>
      <c r="B86" s="667" t="s">
        <v>1316</v>
      </c>
      <c r="C86" s="667" t="s">
        <v>1319</v>
      </c>
      <c r="D86" s="667" t="s">
        <v>1226</v>
      </c>
      <c r="E86" s="667">
        <v>2045</v>
      </c>
      <c r="F86" s="668">
        <v>35174.893440238528</v>
      </c>
    </row>
    <row r="87" spans="1:6" x14ac:dyDescent="0.25">
      <c r="A87" s="667" t="s">
        <v>1323</v>
      </c>
      <c r="B87" s="667" t="s">
        <v>1316</v>
      </c>
      <c r="C87" s="667" t="s">
        <v>1319</v>
      </c>
      <c r="D87" s="667" t="s">
        <v>1226</v>
      </c>
      <c r="E87" s="667">
        <v>2050</v>
      </c>
      <c r="F87" s="668">
        <v>35058.630662371652</v>
      </c>
    </row>
  </sheetData>
  <hyperlinks>
    <hyperlink ref="I2" r:id="rId2" xr:uid="{A3425B64-2114-4F49-9C31-4CF57CFF55B2}"/>
  </hyperlinks>
  <pageMargins left="0.7" right="0.7" top="0.75" bottom="0.75" header="0.3" footer="0.3"/>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23</vt:i4>
      </vt:variant>
      <vt:variant>
        <vt:lpstr>Named Ranges</vt:lpstr>
      </vt:variant>
      <vt:variant>
        <vt:i4>3</vt:i4>
      </vt:variant>
    </vt:vector>
  </HeadingPairs>
  <TitlesOfParts>
    <vt:vector size="26" baseType="lpstr">
      <vt:lpstr>DEMAND</vt:lpstr>
      <vt:lpstr>Demand_Calcs</vt:lpstr>
      <vt:lpstr>ITEMS_Tech_E</vt:lpstr>
      <vt:lpstr>TRP_E</vt:lpstr>
      <vt:lpstr>EFF-E_ANTC</vt:lpstr>
      <vt:lpstr>AFA-E_ANTC</vt:lpstr>
      <vt:lpstr>RESID-E_ANTC</vt:lpstr>
      <vt:lpstr>FNRG_ANTC</vt:lpstr>
      <vt:lpstr>TRA-EB</vt:lpstr>
      <vt:lpstr>Calib_2017</vt:lpstr>
      <vt:lpstr>Calib_old</vt:lpstr>
      <vt:lpstr>EB_2017</vt:lpstr>
      <vt:lpstr>Analytica</vt:lpstr>
      <vt:lpstr>SOL</vt:lpstr>
      <vt:lpstr>ITEMS_Tech_N</vt:lpstr>
      <vt:lpstr>TRP_N</vt:lpstr>
      <vt:lpstr>EFF-N_ANTC</vt:lpstr>
      <vt:lpstr>CapUnit-N_ANTC</vt:lpstr>
      <vt:lpstr>VehicleCostData</vt:lpstr>
      <vt:lpstr>AEA2012</vt:lpstr>
      <vt:lpstr>IEAWEO2023</vt:lpstr>
      <vt:lpstr>NREL_2022</vt:lpstr>
      <vt:lpstr>NREL_LCVs</vt:lpstr>
      <vt:lpstr>HEV_x</vt:lpstr>
      <vt:lpstr>HEV_y</vt:lpstr>
      <vt:lpstr>NREL_LCVs!xvalues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Guy Cunliffe</dc:creator>
  <cp:lastModifiedBy>Guy Cunliffe</cp:lastModifiedBy>
  <dcterms:created xsi:type="dcterms:W3CDTF">2024-06-28T12:21:49Z</dcterms:created>
  <dcterms:modified xsi:type="dcterms:W3CDTF">2024-10-24T12:00:20Z</dcterms:modified>
</cp:coreProperties>
</file>