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66925"/>
  <mc:AlternateContent xmlns:mc="http://schemas.openxmlformats.org/markup-compatibility/2006">
    <mc:Choice Requires="x15">
      <x15ac:absPath xmlns:x15ac="http://schemas.microsoft.com/office/spreadsheetml/2010/11/ac" url="C:\Models\SATIMGE_Veda\SubRes_TMPL\"/>
    </mc:Choice>
  </mc:AlternateContent>
  <xr:revisionPtr revIDLastSave="0" documentId="13_ncr:1_{B5B8D1F7-C600-422A-B143-419F1EF551FA}" xr6:coauthVersionLast="47" xr6:coauthVersionMax="47" xr10:uidLastSave="{00000000-0000-0000-0000-000000000000}"/>
  <bookViews>
    <workbookView xWindow="-120" yWindow="-120" windowWidth="38640" windowHeight="21240" tabRatio="876" xr2:uid="{62F67F8D-DFD4-4ADE-8356-63F780461C4E}"/>
  </bookViews>
  <sheets>
    <sheet name="About" sheetId="23" r:id="rId1"/>
    <sheet name="Definitions" sheetId="21" r:id="rId2"/>
    <sheet name="Fossil Hydrogen production" sheetId="18" r:id="rId3"/>
    <sheet name="Electrolysers" sheetId="22" r:id="rId4"/>
    <sheet name="Hydrogen-Other" sheetId="12" r:id="rId5"/>
    <sheet name="UK TIMES HGN inputs" sheetId="4" r:id="rId6"/>
    <sheet name="Ahjum HGN storage sheet" sheetId="14" r:id="rId7"/>
    <sheet name="Ahjum HGN sheet" sheetId="13" r:id="rId8"/>
    <sheet name="Deflator" sheetId="20" r:id="rId9"/>
  </sheets>
  <externalReferences>
    <externalReference r:id="rId10"/>
    <externalReference r:id="rId11"/>
    <externalReference r:id="rId12"/>
    <externalReference r:id="rId13"/>
    <externalReference r:id="rId14"/>
    <externalReference r:id="rId15"/>
    <externalReference r:id="rId16"/>
  </externalReferences>
  <definedNames>
    <definedName name="__123Graph_AEUMILKPN" hidden="1">#REF!</definedName>
    <definedName name="__FDS_HYPERLINK_TOGGLE_STATE__" hidden="1">"ON"</definedName>
    <definedName name="_AMO_RefreshMultipleList" hidden="1">"'296899469 426988102 362274166 589584065 285770244'"</definedName>
    <definedName name="_AMO_SingleObject_296899469__A1" localSheetId="8" hidden="1">#REF!</definedName>
    <definedName name="_AMO_SingleObject_296899469__A1" hidden="1">#REF!</definedName>
    <definedName name="_AMO_UniqueIdentifier" hidden="1">"'ee2dcedb-2b19-4872-8d76-977f9596c89e'"</definedName>
    <definedName name="_AMO_XmlVersion" hidden="1">"'1'"</definedName>
    <definedName name="_AtRisk_SimSetting_AutomaticallyGenerateReports" hidden="1">FALSE</definedName>
    <definedName name="_AtRisk_SimSetting_AutomaticResultsDisplayMode" localSheetId="8" hidden="1">0</definedName>
    <definedName name="_AtRisk_SimSetting_AutomaticResultsDisplayMode" hidden="1">2</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localSheetId="8" hidden="1">7</definedName>
    <definedName name="_AtRisk_SimSetting_RandomNumberGenerator" hidden="1">0</definedName>
    <definedName name="_AtRisk_SimSetting_ReportsList" localSheetId="8" hidden="1">1832</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localSheetId="8" hidden="1">0</definedName>
    <definedName name="_AtRisk_SimSetting_StdRecalcBehavior" hidden="1">1</definedName>
    <definedName name="_AtRisk_SimSetting_StdRecalcWithoutRiskStatic" hidden="1">0</definedName>
    <definedName name="_AtRisk_SimSetting_StdRecalcWithoutRiskStaticPercentile" hidden="1">0.5</definedName>
    <definedName name="_Regression_Y" hidden="1">#REF!</definedName>
    <definedName name="aa"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GR">[1]Index!$C$7</definedName>
    <definedName name="COM">[1]Index!$C$8</definedName>
    <definedName name="CV_Coal">'[2]Calorific values'!$B$18</definedName>
    <definedName name="CV_GasSASOL">'[2]Calorific values'!$B$8</definedName>
    <definedName name="Demand.Sectors" localSheetId="6">[3]Index!$D$2:$J$2</definedName>
    <definedName name="Demand.Sectors">[3]Index!$D$2:$J$2</definedName>
    <definedName name="diesel.cv">[4]units!$B$2</definedName>
    <definedName name="drate">'[5]TechWATv5 (supwat5)'!$E$3</definedName>
    <definedName name="ele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missions_start" localSheetId="6">[3]NameConv!$AY$4</definedName>
    <definedName name="emissions_start">[3]NameConv!$AY$4</definedName>
    <definedName name="emissions_types" localSheetId="6">[3]NameConv!$AX$3</definedName>
    <definedName name="emissions_types">[3]NameConv!$AX$3</definedName>
    <definedName name="Evaluate">'Ahjum HGN storage sheet'!$F$24</definedName>
    <definedName name="FuelNames" localSheetId="6">[3]NameConv!$B$5:$C$44</definedName>
    <definedName name="FuelNames">[3]NameConv!$B$5:$C$44</definedName>
    <definedName name="FuelNamesLong">[3]NameConv!$B$5:$B$44</definedName>
    <definedName name="FuelNamesShort">[3]NameConv!$C$5:$C$44</definedName>
    <definedName name="gwpch4">'[2]SASOL CC 2019 report'!$E$98</definedName>
    <definedName name="gwpn2o">'[2]SASOL CC 2019 report'!$E$97</definedName>
    <definedName name="H2.LHV.MJ_kg" localSheetId="8">'[3]Hydrogen-ELT'!$D$39</definedName>
    <definedName name="H2.LHV.MJ_kg">'Ahjum HGN sheet'!$D$39</definedName>
    <definedName name="inchtocentimetre" localSheetId="6">[3]Distribution!$A$17</definedName>
    <definedName name="inchtocentimetre">[3]Distribution!$A$17</definedName>
    <definedName name="IND">[1]Index!$C$9</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odel_RUN_code" localSheetId="6">[3]Index!$A$2</definedName>
    <definedName name="Model_RUN_code">[3]Index!$A$2</definedName>
    <definedName name="New_basic_data_start">'[6]New Capacity basic data'!$B$9</definedName>
    <definedName name="Pal_Workbook_GUID" hidden="1">"E2D7SR7Q3BDXUD24G1M1SK63"</definedName>
    <definedName name="petrol.cv">[4]units!$B$3</definedName>
    <definedName name="REF.crude.CAP_rel.2020">'[3]Crude refineries'!$F$56</definedName>
    <definedName name="REF.crude.CAP_rel.2021">'[3]Crude refineries'!$G$56</definedName>
    <definedName name="REF.crude.CAP_rel.2022">'[3]Crude refineries'!$H$56</definedName>
    <definedName name="REF.crude.CAP_rel.2030">'[3]Crude refineries'!$J$56</definedName>
    <definedName name="REF.crude.CAP_rel.2040">'[3]Crude refineries'!$L$56</definedName>
    <definedName name="RES">[1]Index!$C$10</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localSheetId="8" hidden="1">1</definedName>
    <definedName name="RiskFixedSeed" hidden="1">2030000</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localSheetId="8" hidden="1">5000</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localSheetId="8" hidden="1">1</definedName>
    <definedName name="RiskStandardRecalc" hidden="1">2</definedName>
    <definedName name="RiskUpdateDisplay" hidden="1">FALSE</definedName>
    <definedName name="RiskUseDifferentSeedForEachSim" hidden="1">FALSE</definedName>
    <definedName name="RiskUseFixedSeed" localSheetId="8" hidden="1">FALSE</definedName>
    <definedName name="RiskUseFixedSeed" hidden="1">TRUE</definedName>
    <definedName name="RiskUseMultipleCPUs" localSheetId="8" hidden="1">TRUE</definedName>
    <definedName name="RiskUseMultipleCPUs" hidden="1">FALSE</definedName>
    <definedName name="Sector.Agriculture" localSheetId="6">[3]Index!$D$2</definedName>
    <definedName name="Sector.Agriculture">[3]Index!$D$2</definedName>
    <definedName name="Sector.Commercial" localSheetId="6">[3]Index!$E$2</definedName>
    <definedName name="Sector.Commercial">[3]Index!$E$2</definedName>
    <definedName name="Sector.Industry" localSheetId="6">[3]Index!$F$2</definedName>
    <definedName name="Sector.Industry">[3]Index!$F$2</definedName>
    <definedName name="Sector.Power" localSheetId="6">[3]Index!$I$2</definedName>
    <definedName name="Sector.Power">[3]Index!$I$2</definedName>
    <definedName name="Sector.Residential" localSheetId="6">[3]Index!$H$2</definedName>
    <definedName name="Sector.Residential">[3]Index!$H$2</definedName>
    <definedName name="Sector.Supply" localSheetId="6">[3]Index!$J$2</definedName>
    <definedName name="Sector.Supply">[3]Index!$J$2</definedName>
    <definedName name="Sector.Transport" localSheetId="6">[3]Index!$G$2</definedName>
    <definedName name="Sector.Transport">[3]Index!$G$2</definedName>
    <definedName name="sector_prefix" localSheetId="6">'Fossil Hydrogen production'!#REF!</definedName>
    <definedName name="sector_prefix" localSheetId="8">[3]UPS!$B$6</definedName>
    <definedName name="sector_prefix">'Fossil Hydrogen production'!#REF!</definedName>
    <definedName name="SectorNamesLong">[3]NameConv!$C$49:$C$57</definedName>
    <definedName name="SectorNamesShort">[3]NameConv!$B$49:$B$57</definedName>
    <definedName name="table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RA">[1]Index!$C$11</definedName>
    <definedName name="wrn.Electricity._.Questionnaire."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XLSIMSIM" localSheetId="6" hidden="1">{"Sim",3,"Output 1","'Reworked data'!$AI$84","Output 2","'Reworked data'!$AJ$84","Output 3","'Reworked data'!$AK$84","1","2","100","0"}</definedName>
    <definedName name="XLSIMSIM" localSheetId="8" hidden="1">{"Sim",3,"Output 1","'Reworked data'!$AI$84","Output 2","'Reworked data'!$AJ$84","Output 3","'Reworked data'!$AK$84","1","2","100","0"}</definedName>
    <definedName name="XLSIMSIM" hidden="1">{"Sim",3,"Output 1","'Reworked data'!$AI$84","Output 2","'Reworked data'!$AJ$84","Output 3","'Reworked data'!$AK$84","1","2","100","0"}</definedName>
    <definedName name="zar.2006">[7]Deflator!$L$4</definedName>
    <definedName name="zar.2009">[7]Deflator!$O$4</definedName>
    <definedName name="zar.2010">[7]Deflator!$P$4</definedName>
    <definedName name="zar.2012">[7]Deflator!$R$4</definedName>
    <definedName name="zar.2013">[7]Deflator!$S$4</definedName>
    <definedName name="zar.2014">[7]Deflator!$T$4</definedName>
    <definedName name="zar.2015">[7]Deflator!$U$4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4" i="22" l="1"/>
  <c r="I74" i="22"/>
  <c r="J74" i="22"/>
  <c r="H74" i="22"/>
  <c r="G64" i="22"/>
  <c r="H64" i="22"/>
  <c r="G65" i="22"/>
  <c r="H65" i="22"/>
  <c r="G66" i="22"/>
  <c r="H66" i="22"/>
  <c r="F66" i="22"/>
  <c r="F65" i="22"/>
  <c r="F64" i="22"/>
  <c r="D66" i="22"/>
  <c r="D65" i="22"/>
  <c r="F74" i="22"/>
  <c r="E74" i="22"/>
  <c r="H9" i="21" s="1"/>
  <c r="D64" i="22"/>
  <c r="D74" i="22" s="1"/>
  <c r="N35" i="4"/>
  <c r="O35" i="4"/>
  <c r="N36" i="4"/>
  <c r="O36" i="4"/>
  <c r="S21" i="4"/>
  <c r="T22" i="4"/>
  <c r="U22" i="4"/>
  <c r="T23" i="4"/>
  <c r="U23" i="4"/>
  <c r="T24" i="4"/>
  <c r="U24" i="4"/>
  <c r="H8" i="21"/>
  <c r="D61" i="22"/>
  <c r="D73" i="22" s="1"/>
  <c r="D83" i="22" s="1"/>
  <c r="H73" i="22"/>
  <c r="K52" i="22"/>
  <c r="F52" i="22"/>
  <c r="F61" i="22" s="1"/>
  <c r="F62" i="22" s="1"/>
  <c r="K51" i="22"/>
  <c r="J51" i="22"/>
  <c r="I51" i="22"/>
  <c r="H51" i="22"/>
  <c r="G51" i="22"/>
  <c r="F51" i="22"/>
  <c r="K50" i="22"/>
  <c r="J50" i="22"/>
  <c r="I50" i="22"/>
  <c r="H50" i="22"/>
  <c r="G50" i="22"/>
  <c r="F50" i="22"/>
  <c r="I55" i="22"/>
  <c r="G55" i="22"/>
  <c r="G63" i="22" s="1"/>
  <c r="F54" i="22"/>
  <c r="G54" i="22"/>
  <c r="H54" i="22"/>
  <c r="I54" i="22"/>
  <c r="J54" i="22"/>
  <c r="K54" i="22"/>
  <c r="G53" i="22"/>
  <c r="H53" i="22"/>
  <c r="I53" i="22"/>
  <c r="J53" i="22"/>
  <c r="K53" i="22"/>
  <c r="F53" i="22"/>
  <c r="K42" i="22"/>
  <c r="K55" i="22" s="1"/>
  <c r="J42" i="22"/>
  <c r="J55" i="22" s="1"/>
  <c r="I42" i="22"/>
  <c r="H42" i="22"/>
  <c r="H55" i="22" s="1"/>
  <c r="H63" i="22" s="1"/>
  <c r="G42" i="22"/>
  <c r="F42" i="22"/>
  <c r="F55" i="22" s="1"/>
  <c r="F63" i="22" s="1"/>
  <c r="K39" i="22"/>
  <c r="J39" i="22"/>
  <c r="J52" i="22" s="1"/>
  <c r="I39" i="22"/>
  <c r="I52" i="22" s="1"/>
  <c r="H39" i="22"/>
  <c r="H52" i="22" s="1"/>
  <c r="H61" i="22" s="1"/>
  <c r="H62" i="22" s="1"/>
  <c r="G39" i="22"/>
  <c r="G52" i="22" s="1"/>
  <c r="G61" i="22" s="1"/>
  <c r="G62" i="22" s="1"/>
  <c r="F39" i="22"/>
  <c r="K36" i="22"/>
  <c r="J36" i="22"/>
  <c r="I36" i="22"/>
  <c r="H36" i="22"/>
  <c r="J73" i="22" s="1"/>
  <c r="G36" i="22"/>
  <c r="I73" i="22" s="1"/>
  <c r="F36" i="22"/>
  <c r="C7" i="21"/>
  <c r="B7" i="21"/>
  <c r="C6" i="21"/>
  <c r="B6" i="21"/>
  <c r="C5" i="21"/>
  <c r="B5" i="21"/>
  <c r="D62" i="22" l="1"/>
  <c r="D63" i="22" s="1"/>
  <c r="A3" i="20"/>
  <c r="AE3" i="20"/>
  <c r="AF3" i="20"/>
  <c r="P17" i="20"/>
  <c r="X13" i="20" s="1"/>
  <c r="Q17" i="20"/>
  <c r="R17" i="20"/>
  <c r="S17" i="20"/>
  <c r="T17" i="20"/>
  <c r="U17" i="20"/>
  <c r="V17" i="20"/>
  <c r="X19" i="20"/>
  <c r="Y19" i="20" s="1"/>
  <c r="U20" i="20"/>
  <c r="T20" i="20" s="1"/>
  <c r="V20" i="20"/>
  <c r="V21" i="20" s="1"/>
  <c r="W20" i="20"/>
  <c r="W21" i="20" s="1"/>
  <c r="U21" i="20"/>
  <c r="P26" i="20"/>
  <c r="P27" i="20" s="1"/>
  <c r="F33" i="20"/>
  <c r="S20" i="20" l="1"/>
  <c r="T21" i="20"/>
  <c r="X20" i="20"/>
  <c r="Q26" i="20"/>
  <c r="O26" i="20"/>
  <c r="Z3" i="20"/>
  <c r="Y3" i="20" l="1"/>
  <c r="Z4" i="20"/>
  <c r="AA3" i="20"/>
  <c r="Y20" i="20"/>
  <c r="Y21" i="20" s="1"/>
  <c r="X21" i="20"/>
  <c r="Q27" i="20"/>
  <c r="R26" i="20"/>
  <c r="O27" i="20"/>
  <c r="N26" i="20"/>
  <c r="R20" i="20"/>
  <c r="S21" i="20"/>
  <c r="M26" i="20" l="1"/>
  <c r="N27" i="20"/>
  <c r="R27" i="20"/>
  <c r="S26" i="20"/>
  <c r="AA4" i="20"/>
  <c r="AB3" i="20"/>
  <c r="Q20" i="20"/>
  <c r="R21" i="20"/>
  <c r="Y4" i="20"/>
  <c r="X3" i="20"/>
  <c r="AC3" i="20" l="1"/>
  <c r="AB4" i="20"/>
  <c r="S27" i="20"/>
  <c r="T26" i="20"/>
  <c r="P20" i="20"/>
  <c r="Q21" i="20"/>
  <c r="X4" i="20"/>
  <c r="W3" i="20"/>
  <c r="M27" i="20"/>
  <c r="L26" i="20"/>
  <c r="W4" i="20" l="1"/>
  <c r="V3" i="20"/>
  <c r="O20" i="20"/>
  <c r="P21" i="20"/>
  <c r="L27" i="20"/>
  <c r="K26" i="20"/>
  <c r="T27" i="20"/>
  <c r="U26" i="20"/>
  <c r="AC4" i="20"/>
  <c r="AD3" i="20"/>
  <c r="AD4" i="20" s="1"/>
  <c r="J26" i="20" l="1"/>
  <c r="K27" i="20"/>
  <c r="N20" i="20"/>
  <c r="O21" i="20"/>
  <c r="U27" i="20"/>
  <c r="V26" i="20"/>
  <c r="V4" i="20"/>
  <c r="U3" i="20"/>
  <c r="U4" i="20" l="1"/>
  <c r="B15" i="20"/>
  <c r="B14" i="20" s="1"/>
  <c r="T3" i="20"/>
  <c r="M20" i="20"/>
  <c r="N21" i="20"/>
  <c r="W26" i="20"/>
  <c r="W27" i="20" s="1"/>
  <c r="V27" i="20"/>
  <c r="J27" i="20"/>
  <c r="I26" i="20"/>
  <c r="M21" i="20" l="1"/>
  <c r="L20" i="20"/>
  <c r="T4" i="20"/>
  <c r="S3" i="20"/>
  <c r="I27" i="20"/>
  <c r="H26" i="20"/>
  <c r="H27" i="20" l="1"/>
  <c r="G26" i="20"/>
  <c r="K20" i="20"/>
  <c r="L21" i="20"/>
  <c r="S4" i="20"/>
  <c r="R3" i="20"/>
  <c r="R4" i="20" l="1"/>
  <c r="Q3" i="20"/>
  <c r="J20" i="20"/>
  <c r="K21" i="20"/>
  <c r="G27" i="20"/>
  <c r="F26" i="20"/>
  <c r="J21" i="20" l="1"/>
  <c r="I20" i="20"/>
  <c r="F27" i="20"/>
  <c r="E26" i="20"/>
  <c r="Q4" i="20"/>
  <c r="P3" i="20"/>
  <c r="P4" i="20" l="1"/>
  <c r="O3" i="20"/>
  <c r="E27" i="20"/>
  <c r="D26" i="20"/>
  <c r="H20" i="20"/>
  <c r="I21" i="20"/>
  <c r="G20" i="20" l="1"/>
  <c r="H21" i="20"/>
  <c r="D27" i="20"/>
  <c r="C26" i="20"/>
  <c r="O4" i="20"/>
  <c r="N3" i="20"/>
  <c r="M3" i="20" l="1"/>
  <c r="N4" i="20"/>
  <c r="C27" i="20"/>
  <c r="B26" i="20"/>
  <c r="B27" i="20" s="1"/>
  <c r="F20" i="20"/>
  <c r="G21" i="20"/>
  <c r="E20" i="20" l="1"/>
  <c r="F21" i="20"/>
  <c r="M4" i="20"/>
  <c r="L3" i="20"/>
  <c r="K3" i="20" l="1"/>
  <c r="L4" i="20"/>
  <c r="D20" i="20"/>
  <c r="E21" i="20"/>
  <c r="C20" i="20" l="1"/>
  <c r="D21" i="20"/>
  <c r="K4" i="20"/>
  <c r="J3" i="20"/>
  <c r="J4" i="20" l="1"/>
  <c r="I3" i="20"/>
  <c r="B20" i="20"/>
  <c r="B21" i="20" s="1"/>
  <c r="C21" i="20"/>
  <c r="I4" i="20" l="1"/>
  <c r="H3" i="20"/>
  <c r="H4" i="20" l="1"/>
  <c r="G3" i="20"/>
  <c r="G4" i="20" l="1"/>
  <c r="F3" i="20"/>
  <c r="F4" i="20" l="1"/>
  <c r="E3" i="20"/>
  <c r="E4" i="20" l="1"/>
  <c r="D3" i="20"/>
  <c r="D4" i="20" l="1"/>
  <c r="C3" i="20"/>
  <c r="C4" i="20" l="1"/>
  <c r="B3" i="20"/>
  <c r="B4" i="20" s="1"/>
  <c r="M7" i="18" l="1"/>
  <c r="M15" i="18" s="1"/>
  <c r="L6" i="18" l="1"/>
  <c r="V6" i="18"/>
  <c r="L10" i="18"/>
  <c r="V10" i="18"/>
  <c r="L14" i="18"/>
  <c r="V14" i="18"/>
  <c r="D11" i="14"/>
  <c r="D14" i="14" s="1"/>
  <c r="F11" i="14"/>
  <c r="G11" i="14"/>
  <c r="H11" i="14"/>
  <c r="I11" i="14"/>
  <c r="J11" i="14" s="1"/>
  <c r="J12" i="14" s="1"/>
  <c r="J13" i="14" s="1"/>
  <c r="D12" i="14"/>
  <c r="D15" i="14" s="1"/>
  <c r="F12" i="14"/>
  <c r="G12" i="14"/>
  <c r="H12" i="14"/>
  <c r="H13" i="14" s="1"/>
  <c r="D13" i="14"/>
  <c r="D16" i="14" s="1"/>
  <c r="F13" i="14"/>
  <c r="G13" i="14"/>
  <c r="E14" i="14"/>
  <c r="E15" i="14"/>
  <c r="F15" i="14"/>
  <c r="G15" i="14"/>
  <c r="H15" i="14" s="1"/>
  <c r="I15" i="14" s="1"/>
  <c r="J15" i="14" s="1"/>
  <c r="E16" i="14"/>
  <c r="B24" i="14"/>
  <c r="B25" i="14" s="1"/>
  <c r="F27" i="14"/>
  <c r="F28" i="14"/>
  <c r="F29" i="14" s="1"/>
  <c r="B29" i="14"/>
  <c r="C38" i="14"/>
  <c r="E28" i="14" s="1"/>
  <c r="E29" i="14" s="1"/>
  <c r="C42" i="14"/>
  <c r="C44" i="14"/>
  <c r="F14" i="14" s="1"/>
  <c r="G14" i="14" s="1"/>
  <c r="H14" i="14" s="1"/>
  <c r="I14" i="14" s="1"/>
  <c r="J14" i="14" s="1"/>
  <c r="C45" i="14"/>
  <c r="C46" i="14"/>
  <c r="F16" i="14" s="1"/>
  <c r="G16" i="14" s="1"/>
  <c r="H16" i="14" s="1"/>
  <c r="I16" i="14" s="1"/>
  <c r="J16" i="14" s="1"/>
  <c r="C50" i="14"/>
  <c r="D27" i="14" s="1"/>
  <c r="D28" i="14" s="1"/>
  <c r="D29" i="14" s="1"/>
  <c r="F3" i="14" s="1"/>
  <c r="F4" i="14" s="1"/>
  <c r="H6" i="13"/>
  <c r="H8" i="13" s="1"/>
  <c r="D9" i="13"/>
  <c r="I12" i="13"/>
  <c r="J12" i="13"/>
  <c r="I13" i="13"/>
  <c r="J13" i="13"/>
  <c r="F14" i="13"/>
  <c r="G14" i="13"/>
  <c r="H14" i="13"/>
  <c r="I14" i="13"/>
  <c r="J14" i="13"/>
  <c r="F15" i="13"/>
  <c r="G15" i="13"/>
  <c r="H15" i="13"/>
  <c r="I15" i="13"/>
  <c r="J15" i="13"/>
  <c r="G16" i="13"/>
  <c r="H16" i="13"/>
  <c r="H17" i="13" s="1"/>
  <c r="I16" i="13"/>
  <c r="F17" i="13"/>
  <c r="G17" i="13"/>
  <c r="D19" i="13"/>
  <c r="D20" i="13"/>
  <c r="D22" i="13"/>
  <c r="F40" i="13"/>
  <c r="G40" i="13"/>
  <c r="G57" i="13" s="1"/>
  <c r="H40" i="13"/>
  <c r="H57" i="13" s="1"/>
  <c r="I40" i="13"/>
  <c r="J40" i="13"/>
  <c r="F41" i="13"/>
  <c r="F47" i="13" s="1"/>
  <c r="F49" i="13" s="1"/>
  <c r="F53" i="13" s="1"/>
  <c r="G41" i="13"/>
  <c r="H41" i="13"/>
  <c r="M41" i="13" s="1"/>
  <c r="J41" i="13"/>
  <c r="I41" i="13" s="1"/>
  <c r="F42" i="13"/>
  <c r="G42" i="13"/>
  <c r="H42" i="13"/>
  <c r="H48" i="13" s="1"/>
  <c r="D45" i="13"/>
  <c r="F46" i="13"/>
  <c r="G46" i="13"/>
  <c r="G47" i="13" s="1"/>
  <c r="H46" i="13"/>
  <c r="I46" i="13"/>
  <c r="J46" i="13"/>
  <c r="H47" i="13"/>
  <c r="H49" i="13" s="1"/>
  <c r="H53" i="13" s="1"/>
  <c r="J47" i="13"/>
  <c r="F51" i="13"/>
  <c r="F6" i="13" s="1"/>
  <c r="G51" i="13"/>
  <c r="H51" i="13"/>
  <c r="G52" i="13"/>
  <c r="H52" i="13"/>
  <c r="H7" i="13" s="1"/>
  <c r="H9" i="13" s="1"/>
  <c r="F57" i="13"/>
  <c r="F58" i="13"/>
  <c r="G58" i="13"/>
  <c r="G60" i="13" s="1"/>
  <c r="G10" i="13" s="1"/>
  <c r="H58" i="13"/>
  <c r="F59" i="13"/>
  <c r="F61" i="13" s="1"/>
  <c r="F11" i="13" s="1"/>
  <c r="G59" i="13"/>
  <c r="G61" i="13" s="1"/>
  <c r="G11" i="13" s="1"/>
  <c r="H59" i="13"/>
  <c r="F60" i="13"/>
  <c r="F10" i="13" s="1"/>
  <c r="H60" i="13"/>
  <c r="H10" i="13" s="1"/>
  <c r="I10" i="13" s="1"/>
  <c r="H61" i="13"/>
  <c r="H11" i="13" s="1"/>
  <c r="A4" i="12"/>
  <c r="A5" i="12"/>
  <c r="A6" i="12"/>
  <c r="Y7" i="12"/>
  <c r="Y17" i="12"/>
  <c r="Y19" i="12" s="1"/>
  <c r="Y18" i="12"/>
  <c r="Y21" i="12"/>
  <c r="Z21" i="12"/>
  <c r="Z22" i="12"/>
  <c r="I25" i="12"/>
  <c r="L25" i="12"/>
  <c r="M25" i="12"/>
  <c r="N25" i="12"/>
  <c r="R28" i="12"/>
  <c r="O14" i="18" s="1"/>
  <c r="S28" i="12"/>
  <c r="P14" i="18" s="1"/>
  <c r="T28" i="12"/>
  <c r="R14" i="18" s="1"/>
  <c r="R29" i="12"/>
  <c r="S29" i="12"/>
  <c r="T29" i="12"/>
  <c r="R30" i="12"/>
  <c r="O6" i="18" s="1"/>
  <c r="S30" i="12"/>
  <c r="T30" i="12"/>
  <c r="AH30" i="12"/>
  <c r="AH32" i="12" s="1"/>
  <c r="R31" i="12"/>
  <c r="S31" i="12"/>
  <c r="T31" i="12"/>
  <c r="AH31" i="12"/>
  <c r="R32" i="12"/>
  <c r="U32" i="12" s="1"/>
  <c r="S32" i="12"/>
  <c r="T32" i="12"/>
  <c r="AG32" i="12"/>
  <c r="R33" i="12"/>
  <c r="S33" i="12"/>
  <c r="V33" i="12" s="1"/>
  <c r="T33" i="12"/>
  <c r="AG33" i="12"/>
  <c r="R34" i="12"/>
  <c r="S34" i="12"/>
  <c r="T34" i="12"/>
  <c r="R35" i="12"/>
  <c r="S35" i="12"/>
  <c r="T35" i="12"/>
  <c r="R36" i="12"/>
  <c r="S36" i="12"/>
  <c r="T36" i="12"/>
  <c r="F37" i="12"/>
  <c r="F38" i="12" s="1"/>
  <c r="R37" i="12"/>
  <c r="S37" i="12"/>
  <c r="T37" i="12"/>
  <c r="S38" i="12"/>
  <c r="T38" i="12"/>
  <c r="R39" i="12"/>
  <c r="S39" i="12"/>
  <c r="T39" i="12"/>
  <c r="R40" i="12"/>
  <c r="S40" i="12"/>
  <c r="T40" i="12"/>
  <c r="A64" i="12"/>
  <c r="A65" i="12"/>
  <c r="A66" i="12"/>
  <c r="O69" i="12"/>
  <c r="S14" i="18" s="1"/>
  <c r="P69" i="12"/>
  <c r="Q69" i="12"/>
  <c r="O70" i="12"/>
  <c r="P70" i="12"/>
  <c r="Q70" i="12"/>
  <c r="O71" i="12"/>
  <c r="S6" i="18" s="1"/>
  <c r="P71" i="12"/>
  <c r="Q71" i="12"/>
  <c r="O72" i="12"/>
  <c r="P72" i="12"/>
  <c r="Q72" i="12"/>
  <c r="O73" i="12"/>
  <c r="P73" i="12"/>
  <c r="Q73" i="12"/>
  <c r="O74" i="12"/>
  <c r="P74" i="12"/>
  <c r="Q74" i="12"/>
  <c r="O75" i="12"/>
  <c r="P75" i="12"/>
  <c r="Q75" i="12"/>
  <c r="O76" i="12"/>
  <c r="P76" i="12"/>
  <c r="Q76" i="12"/>
  <c r="O77" i="12"/>
  <c r="P77" i="12"/>
  <c r="Q77" i="12"/>
  <c r="O78" i="12"/>
  <c r="P78" i="12"/>
  <c r="Q78" i="12"/>
  <c r="A79" i="12"/>
  <c r="P79" i="12"/>
  <c r="Q79" i="12"/>
  <c r="A80" i="12"/>
  <c r="O80" i="12"/>
  <c r="P80" i="12"/>
  <c r="Q80" i="12"/>
  <c r="O81" i="12"/>
  <c r="P81" i="12"/>
  <c r="Q81" i="12"/>
  <c r="B90" i="12"/>
  <c r="B91" i="12"/>
  <c r="B93" i="12" s="1"/>
  <c r="W14" i="18" s="1"/>
  <c r="B92" i="12"/>
  <c r="P6" i="18" l="1"/>
  <c r="P10" i="18" s="1"/>
  <c r="S75" i="12"/>
  <c r="V40" i="12"/>
  <c r="V36" i="12"/>
  <c r="V32" i="12"/>
  <c r="V35" i="12"/>
  <c r="R6" i="18"/>
  <c r="R10" i="18" s="1"/>
  <c r="R75" i="12"/>
  <c r="U33" i="12"/>
  <c r="R81" i="12"/>
  <c r="S80" i="12"/>
  <c r="R80" i="12"/>
  <c r="U39" i="12"/>
  <c r="R73" i="12"/>
  <c r="V38" i="12"/>
  <c r="R74" i="12"/>
  <c r="R72" i="12"/>
  <c r="V39" i="12"/>
  <c r="R71" i="12"/>
  <c r="S74" i="12"/>
  <c r="U40" i="12"/>
  <c r="U36" i="12"/>
  <c r="R76" i="12"/>
  <c r="R69" i="12"/>
  <c r="U30" i="12"/>
  <c r="S72" i="12"/>
  <c r="V30" i="12"/>
  <c r="S78" i="12"/>
  <c r="U35" i="12"/>
  <c r="V29" i="12"/>
  <c r="S81" i="12"/>
  <c r="S71" i="12"/>
  <c r="U29" i="12"/>
  <c r="S77" i="12"/>
  <c r="S70" i="12"/>
  <c r="V31" i="12"/>
  <c r="U28" i="12"/>
  <c r="S76" i="12"/>
  <c r="R70" i="12"/>
  <c r="U31" i="12"/>
  <c r="M11" i="18"/>
  <c r="F40" i="12"/>
  <c r="F39" i="12"/>
  <c r="AH33" i="12"/>
  <c r="AI31" i="12"/>
  <c r="AI33" i="12" s="1"/>
  <c r="I17" i="13"/>
  <c r="J16" i="13"/>
  <c r="J17" i="13" s="1"/>
  <c r="S79" i="12"/>
  <c r="J10" i="13"/>
  <c r="I11" i="13"/>
  <c r="J11" i="13" s="1"/>
  <c r="E30" i="14"/>
  <c r="H3" i="14"/>
  <c r="O10" i="18"/>
  <c r="G6" i="13"/>
  <c r="G8" i="13" s="1"/>
  <c r="F8" i="13"/>
  <c r="I3" i="14"/>
  <c r="I4" i="14" s="1"/>
  <c r="F30" i="14"/>
  <c r="J3" i="14"/>
  <c r="J4" i="14" s="1"/>
  <c r="S10" i="18"/>
  <c r="V37" i="12"/>
  <c r="U37" i="12"/>
  <c r="V34" i="12"/>
  <c r="U34" i="12"/>
  <c r="F48" i="13"/>
  <c r="F50" i="13" s="1"/>
  <c r="F54" i="13" s="1"/>
  <c r="F52" i="13"/>
  <c r="F7" i="13" s="1"/>
  <c r="R77" i="12"/>
  <c r="J49" i="13"/>
  <c r="J53" i="13" s="1"/>
  <c r="I51" i="13"/>
  <c r="I6" i="13" s="1"/>
  <c r="I8" i="13" s="1"/>
  <c r="I47" i="13"/>
  <c r="I49" i="13" s="1"/>
  <c r="I53" i="13" s="1"/>
  <c r="J51" i="13"/>
  <c r="J6" i="13" s="1"/>
  <c r="J8" i="13" s="1"/>
  <c r="G48" i="13"/>
  <c r="G50" i="13" s="1"/>
  <c r="G54" i="13" s="1"/>
  <c r="I12" i="14"/>
  <c r="I13" i="14" s="1"/>
  <c r="H50" i="13"/>
  <c r="H54" i="13" s="1"/>
  <c r="M42" i="13"/>
  <c r="J42" i="13" s="1"/>
  <c r="I42" i="13" s="1"/>
  <c r="S73" i="12"/>
  <c r="S69" i="12"/>
  <c r="V28" i="12"/>
  <c r="Y23" i="12"/>
  <c r="Y24" i="12" s="1"/>
  <c r="R78" i="12"/>
  <c r="AI30" i="12"/>
  <c r="AI32" i="12" s="1"/>
  <c r="G49" i="13"/>
  <c r="G53" i="13" s="1"/>
  <c r="I52" i="13" l="1"/>
  <c r="I7" i="13" s="1"/>
  <c r="I9" i="13" s="1"/>
  <c r="I48" i="13"/>
  <c r="I50" i="13" s="1"/>
  <c r="I54" i="13" s="1"/>
  <c r="G3" i="14"/>
  <c r="G4" i="14" s="1"/>
  <c r="H4" i="14"/>
  <c r="G7" i="13"/>
  <c r="G9" i="13" s="1"/>
  <c r="F9" i="13"/>
  <c r="J52" i="13"/>
  <c r="J7" i="13" s="1"/>
  <c r="J9" i="13" s="1"/>
  <c r="J48" i="13"/>
  <c r="J50" i="13" s="1"/>
  <c r="J54" i="13" s="1"/>
  <c r="W6" i="18"/>
  <c r="F42" i="12"/>
  <c r="F43" i="12"/>
  <c r="F41" i="12"/>
  <c r="X6" i="18" l="1"/>
  <c r="X10" i="18" s="1"/>
  <c r="F44" i="12"/>
  <c r="W10" i="18"/>
  <c r="Q7" i="4" l="1"/>
  <c r="R8" i="4"/>
  <c r="S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bruno merven</author>
  </authors>
  <commentList>
    <comment ref="X3" authorId="0" shapeId="0" xr:uid="{54823A44-4427-46E3-B15C-EC772D5614CE}">
      <text>
        <r>
          <rPr>
            <b/>
            <sz val="9"/>
            <color indexed="81"/>
            <rFont val="Tahoma"/>
            <family val="2"/>
          </rPr>
          <t>bruno merven:</t>
        </r>
        <r>
          <rPr>
            <sz val="9"/>
            <color indexed="81"/>
            <rFont val="Tahoma"/>
            <family val="2"/>
          </rPr>
          <t xml:space="preserve">
need to add Sox, Nox N2o, CMO, NMVS and PM10 to boilers and methane rich gas conversion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Fadiel</author>
  </authors>
  <commentList>
    <comment ref="D7" authorId="0" shapeId="0" xr:uid="{76CB3362-9A32-4790-835E-33F8E5B953C7}">
      <text>
        <r>
          <rPr>
            <b/>
            <sz val="9"/>
            <color indexed="81"/>
            <rFont val="Tahoma"/>
            <family val="2"/>
          </rPr>
          <t>Fadiel:</t>
        </r>
        <r>
          <rPr>
            <sz val="9"/>
            <color indexed="81"/>
            <rFont val="Tahoma"/>
            <family val="2"/>
          </rPr>
          <t xml:space="preserve">
differs for seasonal due to boil-off losses for CH2 and LH2
</t>
        </r>
      </text>
    </comment>
    <comment ref="E14" authorId="0" shapeId="0" xr:uid="{8266F743-1E24-462A-AB12-B307364D0EE3}">
      <text>
        <r>
          <rPr>
            <b/>
            <sz val="9"/>
            <color indexed="81"/>
            <rFont val="Tahoma"/>
            <family val="2"/>
          </rPr>
          <t>Fadiel:</t>
        </r>
        <r>
          <rPr>
            <sz val="9"/>
            <color indexed="81"/>
            <rFont val="Tahoma"/>
            <family val="2"/>
          </rPr>
          <t xml:space="preserve">
differential pressure from supply</t>
        </r>
      </text>
    </comment>
    <comment ref="E16" authorId="0" shapeId="0" xr:uid="{29778D51-CA30-41FA-9258-12BD82A74271}">
      <text>
        <r>
          <rPr>
            <b/>
            <sz val="9"/>
            <color indexed="81"/>
            <rFont val="Tahoma"/>
            <family val="2"/>
          </rPr>
          <t>Fadiel:</t>
        </r>
        <r>
          <rPr>
            <sz val="9"/>
            <color indexed="81"/>
            <rFont val="Tahoma"/>
            <family val="2"/>
          </rPr>
          <t xml:space="preserve">
differential pressure from storage pressure</t>
        </r>
      </text>
    </comment>
    <comment ref="E26" authorId="0" shapeId="0" xr:uid="{57517898-F728-4279-B44D-1C465E991EE0}">
      <text>
        <r>
          <rPr>
            <b/>
            <sz val="9"/>
            <color indexed="81"/>
            <rFont val="Tahoma"/>
            <family val="2"/>
          </rPr>
          <t>Fadiel:</t>
        </r>
        <r>
          <rPr>
            <sz val="9"/>
            <color indexed="81"/>
            <rFont val="Tahoma"/>
            <family val="2"/>
          </rPr>
          <t xml:space="preserve">
https://www.energy.gov/eere/fuelcells/hydrogen-storage
Specific system targets include the following:
1.5 kWh/kg system (4.5 wt.% hydrogen)
1.0 kWh/L system (0.030 kg hydrogen/L)
$10/kWh ($333/kg stored hydrogen capacity).
</t>
        </r>
      </text>
    </comment>
    <comment ref="F26" authorId="0" shapeId="0" xr:uid="{F95683DD-868B-4D47-B840-39AE8C13755E}">
      <text>
        <r>
          <rPr>
            <b/>
            <sz val="9"/>
            <color indexed="81"/>
            <rFont val="Tahoma"/>
            <family val="2"/>
          </rPr>
          <t>Fadiel: USD/kWh</t>
        </r>
        <r>
          <rPr>
            <sz val="9"/>
            <color indexed="81"/>
            <rFont val="Tahoma"/>
            <family val="2"/>
          </rPr>
          <t xml:space="preserve">
Houchins C. and James B.D. (2020)
USD2016-&gt;2020
https://www.in2013dollars.com/us/inflation/2016?endYear=2020&amp;amount=1</t>
        </r>
      </text>
    </comment>
    <comment ref="C37" authorId="0" shapeId="0" xr:uid="{2C51DD65-C43E-4537-8A38-3DAEF02FC267}">
      <text>
        <r>
          <rPr>
            <b/>
            <sz val="9"/>
            <color indexed="81"/>
            <rFont val="Tahoma"/>
            <family val="2"/>
          </rPr>
          <t>Fadiel:</t>
        </r>
        <r>
          <rPr>
            <sz val="9"/>
            <color indexed="81"/>
            <rFont val="Tahoma"/>
            <family val="2"/>
          </rPr>
          <t xml:space="preserve">
</t>
        </r>
      </text>
    </comment>
    <comment ref="B42" authorId="0" shapeId="0" xr:uid="{1714F58C-0DFA-476C-9A90-DE6DD72769A4}">
      <text>
        <r>
          <rPr>
            <b/>
            <sz val="9"/>
            <color indexed="81"/>
            <rFont val="Tahoma"/>
            <family val="2"/>
          </rPr>
          <t>Fadiel:</t>
        </r>
        <r>
          <rPr>
            <sz val="9"/>
            <color indexed="81"/>
            <rFont val="Tahoma"/>
            <family val="2"/>
          </rPr>
          <t xml:space="preserve">
E4Tech (2012)
</t>
        </r>
      </text>
    </comment>
    <comment ref="C43" authorId="0" shapeId="0" xr:uid="{059D6E12-E9D2-4939-A7B9-DFE0A4D87889}">
      <text>
        <r>
          <rPr>
            <b/>
            <sz val="9"/>
            <color indexed="81"/>
            <rFont val="Tahoma"/>
            <family val="2"/>
          </rPr>
          <t>Fadiel:</t>
        </r>
        <r>
          <rPr>
            <sz val="9"/>
            <color indexed="81"/>
            <rFont val="Tahoma"/>
            <family val="2"/>
          </rPr>
          <t xml:space="preserve">
DoE (2009)
</t>
        </r>
      </text>
    </comment>
    <comment ref="C44" authorId="0" shapeId="0" xr:uid="{8B3F8EB3-8136-40E7-A57B-BA21D958EF0A}">
      <text>
        <r>
          <rPr>
            <b/>
            <sz val="9"/>
            <color indexed="81"/>
            <rFont val="Tahoma"/>
            <family val="2"/>
          </rPr>
          <t>Fadiel:</t>
        </r>
        <r>
          <rPr>
            <sz val="9"/>
            <color indexed="81"/>
            <rFont val="Tahoma"/>
            <family val="2"/>
          </rPr>
          <t xml:space="preserve">
estimated from DoE(2009) for 20 bar supply. See below.</t>
        </r>
      </text>
    </comment>
    <comment ref="C46" authorId="0" shapeId="0" xr:uid="{EE102475-067C-44D0-9F88-7C34335221A8}">
      <text>
        <r>
          <rPr>
            <b/>
            <sz val="9"/>
            <color indexed="81"/>
            <rFont val="Tahoma"/>
            <family val="2"/>
          </rPr>
          <t>Fadiel:</t>
        </r>
        <r>
          <rPr>
            <sz val="9"/>
            <color indexed="81"/>
            <rFont val="Tahoma"/>
            <family val="2"/>
          </rPr>
          <t xml:space="preserve">
estimated from DoE(2009) for 20 bar supply. See below.</t>
        </r>
      </text>
    </comment>
    <comment ref="C48" authorId="0" shapeId="0" xr:uid="{2291FE3F-C2B5-4FAA-8686-AAD9DA084246}">
      <text>
        <r>
          <rPr>
            <b/>
            <sz val="9"/>
            <color indexed="81"/>
            <rFont val="Tahoma"/>
            <family val="2"/>
          </rPr>
          <t>Fadiel:</t>
        </r>
        <r>
          <rPr>
            <sz val="9"/>
            <color indexed="81"/>
            <rFont val="Tahoma"/>
            <family val="2"/>
          </rPr>
          <t xml:space="preserve">
Houchins C. and James B.D. (2020) 
</t>
        </r>
      </text>
    </comment>
    <comment ref="Z117" authorId="0" shapeId="0" xr:uid="{2DF215FC-9B40-4E27-9D79-35C9ED3A18F0}">
      <text>
        <r>
          <rPr>
            <b/>
            <sz val="9"/>
            <color indexed="81"/>
            <rFont val="Tahoma"/>
            <family val="2"/>
          </rPr>
          <t>Fadiel:</t>
        </r>
        <r>
          <rPr>
            <sz val="9"/>
            <color indexed="81"/>
            <rFont val="Tahoma"/>
            <family val="2"/>
          </rPr>
          <t xml:space="preserve">
Complete-Trailer</t>
        </r>
      </text>
    </comment>
    <comment ref="C118" authorId="0" shapeId="0" xr:uid="{F772DEFA-5B0D-4D7F-8F5D-472E6FB2FAF4}">
      <text>
        <r>
          <rPr>
            <b/>
            <sz val="9"/>
            <color indexed="81"/>
            <rFont val="Tahoma"/>
            <family val="2"/>
          </rPr>
          <t>Fadiel:</t>
        </r>
        <r>
          <rPr>
            <sz val="9"/>
            <color indexed="81"/>
            <rFont val="Tahoma"/>
            <family val="2"/>
          </rPr>
          <t xml:space="preserve">
Supply Pressure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Fadiel</author>
    <author>Fadiel Ahjum</author>
  </authors>
  <commentList>
    <comment ref="H5" authorId="0" shapeId="0" xr:uid="{B5AF618E-156C-4EA1-963F-C700962E39AC}">
      <text>
        <r>
          <rPr>
            <b/>
            <sz val="9"/>
            <color indexed="81"/>
            <rFont val="Tahoma"/>
            <family val="2"/>
          </rPr>
          <t>Fadiel:</t>
        </r>
        <r>
          <rPr>
            <sz val="9"/>
            <color indexed="81"/>
            <rFont val="Tahoma"/>
            <family val="2"/>
          </rPr>
          <t xml:space="preserve">
My interpretation of yhe IEA "long term" estimate given it history of under estimating cost reductions</t>
        </r>
      </text>
    </comment>
    <comment ref="D8" authorId="0" shapeId="0" xr:uid="{86AFBFE5-501E-4495-8559-3C0B4426D9FC}">
      <text>
        <r>
          <rPr>
            <b/>
            <sz val="9"/>
            <color indexed="81"/>
            <rFont val="Tahoma"/>
            <family val="2"/>
          </rPr>
          <t>Fadiel:</t>
        </r>
        <r>
          <rPr>
            <sz val="9"/>
            <color indexed="81"/>
            <rFont val="Tahoma"/>
            <family val="2"/>
          </rPr>
          <t xml:space="preserve">
https://iea.blob.core.windows.net/assets/a02a0c80-77b2-462e-a9d5-1099e0e572ce/IEA-The-Future-of-Hydrogen-Assumptions-Annex.pdf</t>
        </r>
      </text>
    </comment>
    <comment ref="D9" authorId="0" shapeId="0" xr:uid="{1E352581-63FB-4B76-A8A8-9358C78E680B}">
      <text>
        <r>
          <rPr>
            <b/>
            <sz val="9"/>
            <color indexed="81"/>
            <rFont val="Tahoma"/>
            <family val="2"/>
          </rPr>
          <t>Fadiel:</t>
        </r>
        <r>
          <rPr>
            <sz val="9"/>
            <color indexed="81"/>
            <rFont val="Tahoma"/>
            <family val="2"/>
          </rPr>
          <t xml:space="preserve">
https://iea.blob.core.windows.net/assets/a02a0c80-77b2-462e-a9d5-1099e0e572ce/IEA-The-Future-of-Hydrogen-Assumptions-Annex.pdf</t>
        </r>
      </text>
    </comment>
    <comment ref="F39" authorId="0" shapeId="0" xr:uid="{1275695C-7605-4582-BC1A-C957B40D226F}">
      <text>
        <r>
          <rPr>
            <b/>
            <sz val="9"/>
            <color indexed="81"/>
            <rFont val="Tahoma"/>
            <family val="2"/>
          </rPr>
          <t>Fadiel:</t>
        </r>
        <r>
          <rPr>
            <sz val="9"/>
            <color indexed="81"/>
            <rFont val="Tahoma"/>
            <family val="2"/>
          </rPr>
          <t xml:space="preserve">
DoE (2009)
See H2 storage</t>
        </r>
      </text>
    </comment>
    <comment ref="H40" authorId="0" shapeId="0" xr:uid="{6E7E15E7-AC36-4C2E-9B7E-9F5BC3B54305}">
      <text>
        <r>
          <rPr>
            <b/>
            <sz val="9"/>
            <color indexed="81"/>
            <rFont val="Tahoma"/>
            <family val="2"/>
          </rPr>
          <t>Fadiel:</t>
        </r>
        <r>
          <rPr>
            <sz val="9"/>
            <color indexed="81"/>
            <rFont val="Tahoma"/>
            <family val="2"/>
          </rPr>
          <t xml:space="preserve">
My interpretation of yhe IEA "long term" estimate given it history of under estimating cost reductions</t>
        </r>
      </text>
    </comment>
    <comment ref="E41" authorId="1" shapeId="0" xr:uid="{00000000-0006-0000-1B00-000001000000}">
      <text>
        <r>
          <rPr>
            <b/>
            <sz val="9"/>
            <color indexed="81"/>
            <rFont val="Tahoma"/>
            <family val="2"/>
          </rPr>
          <t>Fadiel Ahjum:</t>
        </r>
        <r>
          <rPr>
            <sz val="9"/>
            <color indexed="81"/>
            <rFont val="Tahoma"/>
            <family val="2"/>
          </rPr>
          <t xml:space="preserve">
IEA (2019) assuming 2019USD</t>
        </r>
      </text>
    </comment>
    <comment ref="G41" authorId="0" shapeId="0" xr:uid="{7ED6EF0E-44CF-42F2-9D83-A04380855321}">
      <text>
        <r>
          <rPr>
            <b/>
            <sz val="9"/>
            <color indexed="81"/>
            <rFont val="Tahoma"/>
            <family val="2"/>
          </rPr>
          <t>Fadiel:</t>
        </r>
        <r>
          <rPr>
            <sz val="9"/>
            <color indexed="81"/>
            <rFont val="Tahoma"/>
            <family val="2"/>
          </rPr>
          <t xml:space="preserve">
? Remove 2030 miletone since IEA is notoriusly conservative with past projections usually very far off from actual progression</t>
        </r>
      </text>
    </comment>
  </commentList>
</comments>
</file>

<file path=xl/sharedStrings.xml><?xml version="1.0" encoding="utf-8"?>
<sst xmlns="http://schemas.openxmlformats.org/spreadsheetml/2006/main" count="1256" uniqueCount="643">
  <si>
    <t>YES</t>
  </si>
  <si>
    <t>DAYNITE</t>
    <phoneticPr fontId="0" type="noConversion"/>
  </si>
  <si>
    <t>PJa</t>
  </si>
  <si>
    <t>PJ</t>
  </si>
  <si>
    <t>PRE</t>
  </si>
  <si>
    <t>SUPH2GD</t>
  </si>
  <si>
    <t>*</t>
  </si>
  <si>
    <t>Years</t>
  </si>
  <si>
    <t>Output Commodity</t>
  </si>
  <si>
    <t>Input Commodity</t>
  </si>
  <si>
    <t>Technology description</t>
  </si>
  <si>
    <t>*Technology Name</t>
  </si>
  <si>
    <t>Vintage</t>
  </si>
  <si>
    <t>PrimaryCG</t>
  </si>
  <si>
    <t>Tslvl</t>
  </si>
  <si>
    <t>Tcap</t>
  </si>
  <si>
    <t>Tact</t>
  </si>
  <si>
    <t>TechDesc</t>
  </si>
  <si>
    <t>TechName</t>
  </si>
  <si>
    <t>Sets</t>
  </si>
  <si>
    <t>FIXOM</t>
  </si>
  <si>
    <t>VAROM</t>
  </si>
  <si>
    <t>NCAP_COST~2030</t>
  </si>
  <si>
    <t>NCAP_COST</t>
  </si>
  <si>
    <t>EFF~2030</t>
  </si>
  <si>
    <t>NCAP_AF</t>
  </si>
  <si>
    <t>LIFE</t>
  </si>
  <si>
    <t>START</t>
  </si>
  <si>
    <t>CAP2ACT</t>
  </si>
  <si>
    <t>Comm-OUT</t>
  </si>
  <si>
    <t>Comm-IN</t>
  </si>
  <si>
    <t>*TechDesc</t>
  </si>
  <si>
    <t>~FI_Process</t>
  </si>
  <si>
    <t>~FI_T</t>
  </si>
  <si>
    <t>Source: UK TIMES</t>
  </si>
  <si>
    <t>DAYNITE</t>
  </si>
  <si>
    <t>SUPH2GC</t>
  </si>
  <si>
    <t>%</t>
  </si>
  <si>
    <t>*Unit</t>
  </si>
  <si>
    <t>Annual availability factor relating the annual activity of a process to the installed capacity, 2010</t>
  </si>
  <si>
    <t>Units of activity/unit of capacity</t>
  </si>
  <si>
    <t>Lifetime</t>
  </si>
  <si>
    <t>NCAP_FOM~2030</t>
  </si>
  <si>
    <t>NCAP_FOM</t>
  </si>
  <si>
    <t>EFF~2050</t>
  </si>
  <si>
    <t>NCAP_AFA</t>
  </si>
  <si>
    <t>NCAP_ILED</t>
  </si>
  <si>
    <t>SUPELC</t>
  </si>
  <si>
    <t/>
  </si>
  <si>
    <t>SUPH2LC</t>
  </si>
  <si>
    <t>Hydrogen liquefaction</t>
  </si>
  <si>
    <t>SH2GH2L_01</t>
  </si>
  <si>
    <t>* Hydrogen liquefaction to HDL</t>
  </si>
  <si>
    <t>€m/capacity unit</t>
  </si>
  <si>
    <t>Fixed Operational &amp; Maintenance Cost - 2030 (2012 prices)</t>
  </si>
  <si>
    <t>Fixed Operational &amp; Maintenance Cost (2012 prices)</t>
  </si>
  <si>
    <t>Investment cost - 2030 (2012 prices)</t>
  </si>
  <si>
    <t>Investment cost (2012 prices)</t>
  </si>
  <si>
    <t xml:space="preserve"> Input per unit of activity - 2025</t>
  </si>
  <si>
    <t xml:space="preserve"> Input per unit of activity - 2010</t>
  </si>
  <si>
    <t>Lifetime of new capacity</t>
  </si>
  <si>
    <t>Auxiliary input</t>
  </si>
  <si>
    <t>INPUT~2025</t>
  </si>
  <si>
    <t>INPUT</t>
  </si>
  <si>
    <t>COMM-IN-A</t>
  </si>
  <si>
    <t>HYDROGEN liquefaction (H2L)</t>
  </si>
  <si>
    <t>Hydrogen Delivery - PIPELINE TRANSMISSION HIGH-PRESSURE</t>
  </si>
  <si>
    <t>SH2GDEL_02</t>
  </si>
  <si>
    <t>SUPH2LD</t>
  </si>
  <si>
    <t>Hydrogen Delivery - ROAD-TANKER DISTRIBUTION</t>
  </si>
  <si>
    <t>SH2LDEL_01</t>
  </si>
  <si>
    <t>Hydrogen Delivery - PIPELINE DISTRIBUTION HIGH-PRESSURE</t>
  </si>
  <si>
    <t>SH2GDEL_01</t>
  </si>
  <si>
    <t>* Pipeline and road tanker distribution</t>
  </si>
  <si>
    <t>years</t>
  </si>
  <si>
    <t>Economic lifetime</t>
  </si>
  <si>
    <t>Activity Cost (Cost per unit of output) - 2020 (2012 prices)</t>
  </si>
  <si>
    <t>Activity Cost (Cost per unit of output) (2012 prices)</t>
  </si>
  <si>
    <t>NCAP_ELIFE</t>
  </si>
  <si>
    <t>ACT_COST~2030</t>
  </si>
  <si>
    <t>ACT_COST</t>
  </si>
  <si>
    <t>HYDROGEN delivery (H2D)</t>
  </si>
  <si>
    <t>No</t>
    <phoneticPr fontId="0" type="noConversion"/>
  </si>
  <si>
    <t>STS</t>
    <phoneticPr fontId="0" type="noConversion"/>
  </si>
  <si>
    <t>Hydrogen Storage - SMALL</t>
  </si>
  <si>
    <t>SH2GSTG_02</t>
  </si>
  <si>
    <t>Hydrogen Storage - LARGE</t>
  </si>
  <si>
    <t>SH2GSTG_01</t>
  </si>
  <si>
    <t>proportion</t>
  </si>
  <si>
    <t>Availability factor</t>
  </si>
  <si>
    <t>Fixed Operational &amp; Maintenance Cost (2010 prices)</t>
  </si>
  <si>
    <t>Investment cost (2010 prices)</t>
  </si>
  <si>
    <t>Storage efficiency</t>
  </si>
  <si>
    <t>S_EFF</t>
  </si>
  <si>
    <t>HYDROGEN storage (H2S)</t>
  </si>
  <si>
    <t>MJ/kg</t>
  </si>
  <si>
    <t>https://www1.oanda.com/currency/converter/</t>
  </si>
  <si>
    <t>USD2019-&gt;ZAR2019</t>
  </si>
  <si>
    <t>ZAR 2019-&gt;2015</t>
  </si>
  <si>
    <t>https://www.inflationtool.com/us-dollar?amount=1&amp;year1=2017&amp;year2=2019</t>
  </si>
  <si>
    <t>USD2017-&gt;USD2019 IEA(2019)</t>
  </si>
  <si>
    <t>https://inflationcalc.co.za/</t>
  </si>
  <si>
    <t>CO2</t>
  </si>
  <si>
    <t>Hydrogen</t>
  </si>
  <si>
    <t>H2</t>
  </si>
  <si>
    <t>Construction time</t>
  </si>
  <si>
    <t>NCAP_TLIFE</t>
  </si>
  <si>
    <t>FLO_FUNC</t>
  </si>
  <si>
    <t>HGN</t>
  </si>
  <si>
    <t>UPSELC</t>
  </si>
  <si>
    <t>PRC_ACTFLO</t>
  </si>
  <si>
    <t>parameter</t>
  </si>
  <si>
    <t>process</t>
  </si>
  <si>
    <t>PRC_CAPACT</t>
  </si>
  <si>
    <r>
      <rPr>
        <b/>
        <sz val="11"/>
        <rFont val="Calibri"/>
        <family val="2"/>
      </rPr>
      <t>GH</t>
    </r>
    <r>
      <rPr>
        <b/>
        <sz val="7"/>
        <rFont val="Calibri"/>
        <family val="2"/>
      </rPr>
      <t>2</t>
    </r>
    <r>
      <rPr>
        <b/>
        <sz val="11"/>
        <rFont val="Calibri"/>
        <family val="2"/>
      </rPr>
      <t>-GH</t>
    </r>
    <r>
      <rPr>
        <b/>
        <sz val="7"/>
        <rFont val="Calibri"/>
        <family val="2"/>
      </rPr>
      <t xml:space="preserve">2 </t>
    </r>
    <r>
      <rPr>
        <b/>
        <sz val="11"/>
        <rFont val="Calibri"/>
        <family val="2"/>
      </rPr>
      <t>on- site</t>
    </r>
  </si>
  <si>
    <r>
      <rPr>
        <b/>
        <sz val="11"/>
        <rFont val="Calibri"/>
        <family val="2"/>
      </rPr>
      <t>GH</t>
    </r>
    <r>
      <rPr>
        <b/>
        <sz val="7"/>
        <rFont val="Calibri"/>
        <family val="2"/>
      </rPr>
      <t>2</t>
    </r>
    <r>
      <rPr>
        <b/>
        <sz val="11"/>
        <rFont val="Calibri"/>
        <family val="2"/>
      </rPr>
      <t>-GH</t>
    </r>
    <r>
      <rPr>
        <b/>
        <sz val="7"/>
        <rFont val="Calibri"/>
        <family val="2"/>
      </rPr>
      <t xml:space="preserve">2 </t>
    </r>
    <r>
      <rPr>
        <b/>
        <sz val="11"/>
        <rFont val="Calibri"/>
        <family val="2"/>
      </rPr>
      <t xml:space="preserve">pipeline
</t>
    </r>
    <r>
      <rPr>
        <b/>
        <sz val="11"/>
        <rFont val="Calibri"/>
        <family val="2"/>
      </rPr>
      <t>(2)</t>
    </r>
  </si>
  <si>
    <r>
      <rPr>
        <b/>
        <sz val="11"/>
        <rFont val="Calibri"/>
        <family val="2"/>
      </rPr>
      <t>GH</t>
    </r>
    <r>
      <rPr>
        <b/>
        <sz val="7"/>
        <rFont val="Calibri"/>
        <family val="2"/>
      </rPr>
      <t>2</t>
    </r>
    <r>
      <rPr>
        <b/>
        <sz val="11"/>
        <rFont val="Calibri"/>
        <family val="2"/>
      </rPr>
      <t>-GH</t>
    </r>
    <r>
      <rPr>
        <b/>
        <sz val="7"/>
        <rFont val="Calibri"/>
        <family val="2"/>
      </rPr>
      <t xml:space="preserve">2 </t>
    </r>
    <r>
      <rPr>
        <b/>
        <sz val="11"/>
        <rFont val="Calibri"/>
        <family val="2"/>
      </rPr>
      <t xml:space="preserve">pipeline
</t>
    </r>
    <r>
      <rPr>
        <b/>
        <sz val="11"/>
        <rFont val="Calibri"/>
        <family val="2"/>
      </rPr>
      <t>(1)</t>
    </r>
  </si>
  <si>
    <r>
      <rPr>
        <b/>
        <sz val="11"/>
        <rFont val="Calibri"/>
        <family val="2"/>
      </rPr>
      <t>LH</t>
    </r>
    <r>
      <rPr>
        <b/>
        <sz val="7"/>
        <rFont val="Calibri"/>
        <family val="2"/>
      </rPr>
      <t>2</t>
    </r>
    <r>
      <rPr>
        <b/>
        <sz val="11"/>
        <rFont val="Calibri"/>
        <family val="2"/>
      </rPr>
      <t>-GH</t>
    </r>
    <r>
      <rPr>
        <b/>
        <sz val="7"/>
        <rFont val="Calibri"/>
        <family val="2"/>
      </rPr>
      <t xml:space="preserve">2
</t>
    </r>
    <r>
      <rPr>
        <b/>
        <sz val="11"/>
        <rFont val="Calibri"/>
        <family val="2"/>
      </rPr>
      <t>tanker</t>
    </r>
  </si>
  <si>
    <r>
      <rPr>
        <b/>
        <sz val="11"/>
        <rFont val="Calibri"/>
        <family val="2"/>
      </rPr>
      <t>LH</t>
    </r>
    <r>
      <rPr>
        <b/>
        <sz val="7"/>
        <rFont val="Calibri"/>
        <family val="2"/>
      </rPr>
      <t>2</t>
    </r>
    <r>
      <rPr>
        <b/>
        <sz val="11"/>
        <rFont val="Calibri"/>
        <family val="2"/>
      </rPr>
      <t>-LH</t>
    </r>
    <r>
      <rPr>
        <b/>
        <sz val="7"/>
        <rFont val="Calibri"/>
        <family val="2"/>
      </rPr>
      <t xml:space="preserve">2
</t>
    </r>
    <r>
      <rPr>
        <b/>
        <sz val="11"/>
        <rFont val="Calibri"/>
        <family val="2"/>
      </rPr>
      <t>tanker</t>
    </r>
  </si>
  <si>
    <r>
      <rPr>
        <b/>
        <sz val="11"/>
        <rFont val="Calibri"/>
        <family val="2"/>
      </rPr>
      <t>Year</t>
    </r>
  </si>
  <si>
    <r>
      <rPr>
        <b/>
        <sz val="9"/>
        <color indexed="49"/>
        <rFont val="Calibri"/>
        <family val="2"/>
      </rPr>
      <t>Table 14. TIAM-UCL hydrogen fuelling station best-estimate costs (US$(2005) GJ</t>
    </r>
    <r>
      <rPr>
        <b/>
        <sz val="6"/>
        <color indexed="49"/>
        <rFont val="Calibri"/>
        <family val="2"/>
      </rPr>
      <t xml:space="preserve">-1 </t>
    </r>
    <r>
      <rPr>
        <b/>
        <sz val="9"/>
        <color indexed="49"/>
        <rFont val="Calibri"/>
        <family val="2"/>
      </rPr>
      <t>y</t>
    </r>
    <r>
      <rPr>
        <b/>
        <sz val="6"/>
        <color indexed="49"/>
        <rFont val="Calibri"/>
        <family val="2"/>
      </rPr>
      <t>-1</t>
    </r>
    <r>
      <rPr>
        <b/>
        <sz val="9"/>
        <color indexed="49"/>
        <rFont val="Calibri"/>
        <family val="2"/>
      </rPr>
      <t>).</t>
    </r>
  </si>
  <si>
    <r>
      <rPr>
        <b/>
        <sz val="9"/>
        <color indexed="49"/>
        <rFont val="Calibri"/>
        <family val="2"/>
      </rPr>
      <t>Table 13. UK MARKAL hydrogen fuelling station best-estimate costs (GB£(2000) GJ</t>
    </r>
    <r>
      <rPr>
        <b/>
        <sz val="6"/>
        <color indexed="49"/>
        <rFont val="Calibri"/>
        <family val="2"/>
      </rPr>
      <t xml:space="preserve">-1 </t>
    </r>
    <r>
      <rPr>
        <b/>
        <sz val="9"/>
        <color indexed="49"/>
        <rFont val="Calibri"/>
        <family val="2"/>
      </rPr>
      <t>y</t>
    </r>
    <r>
      <rPr>
        <b/>
        <sz val="6"/>
        <color indexed="49"/>
        <rFont val="Calibri"/>
        <family val="2"/>
      </rPr>
      <t>-1</t>
    </r>
    <r>
      <rPr>
        <b/>
        <sz val="9"/>
        <color indexed="49"/>
        <rFont val="Calibri"/>
        <family val="2"/>
      </rPr>
      <t>).</t>
    </r>
  </si>
  <si>
    <t>The UK MARKAL model does not directly account for the road tanker investment cost. For transmission, it assumes an energy efficiency of 98%. The investment costs are simulated as a variable O&amp;M distribution cost of £1.17 GJ-1, which is an output of the transmission model of Yang and Ogden (2007). The US9R MARKAL model has an optimistically-low investment cost (£0.6 GJ-1 y-1) but pessimistically assumes an energy efficiency of 90%.</t>
  </si>
  <si>
    <r>
      <rPr>
        <b/>
        <sz val="11"/>
        <rFont val="Calibri"/>
        <family val="2"/>
      </rPr>
      <t>TIAM-UCL (US$(2005) GJ</t>
    </r>
    <r>
      <rPr>
        <b/>
        <sz val="7"/>
        <rFont val="Calibri"/>
        <family val="2"/>
      </rPr>
      <t xml:space="preserve">-1 </t>
    </r>
    <r>
      <rPr>
        <b/>
        <sz val="11"/>
        <rFont val="Calibri"/>
        <family val="2"/>
      </rPr>
      <t>y</t>
    </r>
    <r>
      <rPr>
        <b/>
        <sz val="7"/>
        <rFont val="Calibri"/>
        <family val="2"/>
      </rPr>
      <t>-1</t>
    </r>
    <r>
      <rPr>
        <b/>
        <sz val="11"/>
        <rFont val="Calibri"/>
        <family val="2"/>
      </rPr>
      <t>)</t>
    </r>
  </si>
  <si>
    <r>
      <rPr>
        <b/>
        <sz val="11"/>
        <rFont val="Calibri"/>
        <family val="2"/>
      </rPr>
      <t>UK MARKAL (UK£(2000) GJ</t>
    </r>
    <r>
      <rPr>
        <b/>
        <sz val="7"/>
        <rFont val="Calibri"/>
        <family val="2"/>
      </rPr>
      <t xml:space="preserve">-1 </t>
    </r>
    <r>
      <rPr>
        <b/>
        <sz val="11"/>
        <rFont val="Calibri"/>
        <family val="2"/>
      </rPr>
      <t>y</t>
    </r>
    <r>
      <rPr>
        <b/>
        <sz val="7"/>
        <rFont val="Calibri"/>
        <family val="2"/>
      </rPr>
      <t>-1</t>
    </r>
    <r>
      <rPr>
        <b/>
        <sz val="11"/>
        <rFont val="Calibri"/>
        <family val="2"/>
      </rPr>
      <t>)</t>
    </r>
  </si>
  <si>
    <r>
      <rPr>
        <b/>
        <sz val="11"/>
        <rFont val="Calibri"/>
        <family val="2"/>
      </rPr>
      <t>year</t>
    </r>
  </si>
  <si>
    <r>
      <rPr>
        <b/>
        <sz val="11"/>
        <rFont val="Calibri"/>
        <family val="2"/>
      </rPr>
      <t>EFF</t>
    </r>
  </si>
  <si>
    <r>
      <rPr>
        <b/>
        <sz val="11"/>
        <rFont val="Calibri"/>
        <family val="2"/>
      </rPr>
      <t>INVCOST</t>
    </r>
  </si>
  <si>
    <r>
      <rPr>
        <b/>
        <sz val="11"/>
        <rFont val="Calibri"/>
        <family val="2"/>
      </rPr>
      <t>First</t>
    </r>
  </si>
  <si>
    <r>
      <rPr>
        <b/>
        <sz val="11"/>
        <rFont val="Calibri"/>
        <family val="2"/>
      </rPr>
      <t>Technology</t>
    </r>
  </si>
  <si>
    <r>
      <rPr>
        <b/>
        <sz val="9"/>
        <color indexed="49"/>
        <rFont val="Calibri"/>
        <family val="2"/>
      </rPr>
      <t>2000–2050. These costs and efficiencies are only valid for short delivery distances (i.e. approximately 100 km). See the text for a description of the data source.</t>
    </r>
  </si>
  <si>
    <r>
      <rPr>
        <b/>
        <sz val="9"/>
        <color indexed="49"/>
        <rFont val="Calibri"/>
        <family val="2"/>
      </rPr>
      <t>Table 12. Recommended energy system model investment cost and energy efficiency data for tube trailers for the period</t>
    </r>
  </si>
  <si>
    <r>
      <rPr>
        <b/>
        <sz val="11"/>
        <color indexed="8"/>
        <rFont val="Cambria"/>
        <family val="1"/>
      </rPr>
      <t>4.2.2    Tube trailer delivery</t>
    </r>
  </si>
  <si>
    <r>
      <rPr>
        <sz val="11"/>
        <rFont val="Calibri"/>
        <family val="2"/>
      </rPr>
      <t>Small</t>
    </r>
  </si>
  <si>
    <r>
      <rPr>
        <b/>
        <sz val="11"/>
        <rFont val="Calibri"/>
        <family val="2"/>
      </rPr>
      <t>Road tanker*</t>
    </r>
  </si>
  <si>
    <r>
      <rPr>
        <sz val="11"/>
        <rFont val="Calibri"/>
        <family val="2"/>
      </rPr>
      <t>Large</t>
    </r>
  </si>
  <si>
    <r>
      <rPr>
        <b/>
        <sz val="11"/>
        <rFont val="Calibri"/>
        <family val="2"/>
      </rPr>
      <t>Ship*</t>
    </r>
  </si>
  <si>
    <r>
      <rPr>
        <sz val="11"/>
        <rFont val="Calibri"/>
        <family val="2"/>
      </rPr>
      <t>Medium</t>
    </r>
  </si>
  <si>
    <r>
      <rPr>
        <b/>
        <sz val="11"/>
        <rFont val="Calibri"/>
        <family val="2"/>
      </rPr>
      <t>Liquefaction</t>
    </r>
  </si>
  <si>
    <r>
      <rPr>
        <b/>
        <sz val="11"/>
        <rFont val="Calibri"/>
        <family val="2"/>
      </rPr>
      <t>First year</t>
    </r>
  </si>
  <si>
    <r>
      <rPr>
        <b/>
        <sz val="11"/>
        <rFont val="Calibri"/>
        <family val="2"/>
      </rPr>
      <t>Size</t>
    </r>
  </si>
  <si>
    <r>
      <rPr>
        <b/>
        <sz val="9"/>
        <color indexed="49"/>
        <rFont val="Calibri"/>
        <family val="2"/>
      </rPr>
      <t>distance.</t>
    </r>
  </si>
  <si>
    <r>
      <rPr>
        <b/>
        <sz val="9"/>
        <color indexed="49"/>
        <rFont val="Calibri"/>
        <family val="2"/>
      </rPr>
      <t>description of the data source. * Ship and road tanker investment costs and efficiencies are influenced by the delivery</t>
    </r>
  </si>
  <si>
    <r>
      <rPr>
        <b/>
        <sz val="9"/>
        <color indexed="49"/>
        <rFont val="Calibri"/>
        <family val="2"/>
      </rPr>
      <t>period 2000–2050, for use in energy systems models. Investment costs have units US$(2005) GJ</t>
    </r>
    <r>
      <rPr>
        <b/>
        <sz val="6"/>
        <color indexed="49"/>
        <rFont val="Calibri"/>
        <family val="2"/>
      </rPr>
      <t xml:space="preserve">-1 </t>
    </r>
    <r>
      <rPr>
        <b/>
        <sz val="9"/>
        <color indexed="49"/>
        <rFont val="Calibri"/>
        <family val="2"/>
      </rPr>
      <t>y</t>
    </r>
    <r>
      <rPr>
        <b/>
        <sz val="6"/>
        <color indexed="49"/>
        <rFont val="Calibri"/>
        <family val="2"/>
      </rPr>
      <t>-1</t>
    </r>
    <r>
      <rPr>
        <b/>
        <sz val="9"/>
        <color indexed="49"/>
        <rFont val="Calibri"/>
        <family val="2"/>
      </rPr>
      <t>. See the text for a</t>
    </r>
  </si>
  <si>
    <r>
      <rPr>
        <b/>
        <sz val="9"/>
        <color indexed="49"/>
        <rFont val="Calibri"/>
        <family val="2"/>
      </rPr>
      <t>Table 11. Recommended TIAM-UCL investment cost and energy efficiency data for LH</t>
    </r>
    <r>
      <rPr>
        <b/>
        <sz val="6"/>
        <color indexed="49"/>
        <rFont val="Calibri"/>
        <family val="2"/>
      </rPr>
      <t xml:space="preserve">2 </t>
    </r>
    <r>
      <rPr>
        <b/>
        <sz val="9"/>
        <color indexed="49"/>
        <rFont val="Calibri"/>
        <family val="2"/>
      </rPr>
      <t>delivery technologies for the</t>
    </r>
  </si>
  <si>
    <r>
      <rPr>
        <b/>
        <sz val="9"/>
        <color indexed="49"/>
        <rFont val="Calibri"/>
        <family val="2"/>
      </rPr>
      <t>description of the data source. * Ship and road tanker investment costs and efficiencies are influenced by the delivery distance.</t>
    </r>
  </si>
  <si>
    <r>
      <rPr>
        <b/>
        <sz val="9"/>
        <color indexed="49"/>
        <rFont val="Calibri"/>
        <family val="2"/>
      </rPr>
      <t>period 2000–2050, for use in energy systems models. Investment costs have units GB£(2000) GJ</t>
    </r>
    <r>
      <rPr>
        <b/>
        <sz val="6"/>
        <color indexed="49"/>
        <rFont val="Calibri"/>
        <family val="2"/>
      </rPr>
      <t xml:space="preserve">-1 </t>
    </r>
    <r>
      <rPr>
        <b/>
        <sz val="9"/>
        <color indexed="49"/>
        <rFont val="Calibri"/>
        <family val="2"/>
      </rPr>
      <t>y</t>
    </r>
    <r>
      <rPr>
        <b/>
        <sz val="6"/>
        <color indexed="49"/>
        <rFont val="Calibri"/>
        <family val="2"/>
      </rPr>
      <t>-1</t>
    </r>
    <r>
      <rPr>
        <b/>
        <sz val="9"/>
        <color indexed="49"/>
        <rFont val="Calibri"/>
        <family val="2"/>
      </rPr>
      <t>. See the text for a</t>
    </r>
  </si>
  <si>
    <r>
      <rPr>
        <b/>
        <sz val="9"/>
        <color indexed="49"/>
        <rFont val="Calibri"/>
        <family val="2"/>
      </rPr>
      <t>Table 10. Recommended UK MARKAL investment cost and energy efficiency data for LH</t>
    </r>
    <r>
      <rPr>
        <b/>
        <sz val="6"/>
        <color indexed="49"/>
        <rFont val="Calibri"/>
        <family val="2"/>
      </rPr>
      <t xml:space="preserve">2 </t>
    </r>
    <r>
      <rPr>
        <b/>
        <sz val="9"/>
        <color indexed="49"/>
        <rFont val="Calibri"/>
        <family val="2"/>
      </rPr>
      <t>delivery technologies for the</t>
    </r>
  </si>
  <si>
    <t>4.2.1 Liquid hydrogen delivery</t>
  </si>
  <si>
    <r>
      <rPr>
        <sz val="10"/>
        <rFont val="Cambria"/>
        <family val="1"/>
      </rPr>
      <t>0%</t>
    </r>
  </si>
  <si>
    <r>
      <rPr>
        <sz val="10"/>
        <rFont val="Cambria"/>
        <family val="1"/>
      </rPr>
      <t>100%</t>
    </r>
  </si>
  <si>
    <r>
      <rPr>
        <b/>
        <sz val="10"/>
        <rFont val="Cambria"/>
        <family val="1"/>
      </rPr>
      <t>Electrolysis</t>
    </r>
  </si>
  <si>
    <r>
      <rPr>
        <sz val="10"/>
        <rFont val="Cambria"/>
        <family val="1"/>
      </rPr>
      <t>30%</t>
    </r>
  </si>
  <si>
    <r>
      <rPr>
        <sz val="10"/>
        <rFont val="Cambria"/>
        <family val="1"/>
      </rPr>
      <t>70%</t>
    </r>
  </si>
  <si>
    <r>
      <rPr>
        <b/>
        <sz val="10"/>
        <rFont val="Cambria"/>
        <family val="1"/>
      </rPr>
      <t>Nuclear</t>
    </r>
  </si>
  <si>
    <t>kton CO2/PJ (H2 LHV)</t>
  </si>
  <si>
    <r>
      <rPr>
        <sz val="10"/>
        <rFont val="Cambria"/>
        <family val="1"/>
      </rPr>
      <t>3%</t>
    </r>
  </si>
  <si>
    <r>
      <rPr>
        <sz val="10"/>
        <rFont val="Cambria"/>
        <family val="1"/>
      </rPr>
      <t>97%</t>
    </r>
  </si>
  <si>
    <r>
      <rPr>
        <b/>
        <sz val="10"/>
        <rFont val="Cambria"/>
        <family val="1"/>
      </rPr>
      <t>Biomass and waste</t>
    </r>
  </si>
  <si>
    <t>kton CO2/PJ (H2 HHV)</t>
  </si>
  <si>
    <r>
      <rPr>
        <b/>
        <sz val="10"/>
        <rFont val="Cambria"/>
        <family val="1"/>
      </rPr>
      <t>SMR</t>
    </r>
  </si>
  <si>
    <t>kg CO2/MJ (H2 LHV)</t>
  </si>
  <si>
    <r>
      <rPr>
        <b/>
        <sz val="10"/>
        <rFont val="Cambria"/>
        <family val="1"/>
      </rPr>
      <t>IGCC generation (after
coal gasification)</t>
    </r>
  </si>
  <si>
    <t>kg CO2/MJ (H2 HHV)</t>
  </si>
  <si>
    <r>
      <rPr>
        <b/>
        <sz val="10"/>
        <rFont val="Cambria"/>
        <family val="1"/>
      </rPr>
      <t>Coal gasification</t>
    </r>
  </si>
  <si>
    <t>(Pg 53)</t>
  </si>
  <si>
    <t xml:space="preserve"> kg CO2/kg H2</t>
  </si>
  <si>
    <t>CO2 out from WSG Unit:</t>
  </si>
  <si>
    <r>
      <rPr>
        <b/>
        <sz val="10"/>
        <rFont val="Cambria"/>
        <family val="1"/>
      </rPr>
      <t>Electricity</t>
    </r>
  </si>
  <si>
    <r>
      <rPr>
        <b/>
        <sz val="10"/>
        <rFont val="Cambria"/>
        <family val="1"/>
      </rPr>
      <t>GH2</t>
    </r>
  </si>
  <si>
    <r>
      <rPr>
        <b/>
        <sz val="10"/>
        <rFont val="Cambria"/>
        <family val="1"/>
      </rPr>
      <t>Feedstock</t>
    </r>
  </si>
  <si>
    <t>overall effic coal to H2</t>
  </si>
  <si>
    <t>Efficiency</t>
  </si>
  <si>
    <r>
      <rPr>
        <b/>
        <sz val="10"/>
        <rFont val="Cambria"/>
        <family val="1"/>
      </rPr>
      <t>Energy output</t>
    </r>
  </si>
  <si>
    <r>
      <rPr>
        <b/>
        <sz val="10"/>
        <rFont val="Cambria"/>
        <family val="1"/>
      </rPr>
      <t>Energy input</t>
    </r>
  </si>
  <si>
    <r>
      <rPr>
        <b/>
        <sz val="10"/>
        <rFont val="Cambria"/>
        <family val="1"/>
      </rPr>
      <t>Technology</t>
    </r>
  </si>
  <si>
    <r>
      <rPr>
        <b/>
        <sz val="10"/>
        <color indexed="49"/>
        <rFont val="Cambria"/>
        <family val="1"/>
      </rPr>
      <t>text for a description of the data source.</t>
    </r>
  </si>
  <si>
    <t>D. Simbeck and E. Chang (2002) "Hydrogen Supply: Cost Estimate for Hydrogen Pathways Scoping Analysis", NREL, NREL/SR-540-32525</t>
  </si>
  <si>
    <t>Source:</t>
  </si>
  <si>
    <r>
      <rPr>
        <b/>
        <sz val="10"/>
        <color indexed="49"/>
        <rFont val="Cambria"/>
        <family val="1"/>
      </rPr>
      <t>systems models. Technologies with CCS should increase the electricity input and reduce the feedstock by 4%. See the</t>
    </r>
  </si>
  <si>
    <r>
      <rPr>
        <b/>
        <sz val="10"/>
        <color indexed="49"/>
        <rFont val="Cambria"/>
        <family val="1"/>
      </rPr>
      <t>Table 7. Recommended energy source input and output data for hydrogen production technologies for use in energy</t>
    </r>
  </si>
  <si>
    <t>Coal Gasification</t>
  </si>
  <si>
    <t>Units of R/kW</t>
  </si>
  <si>
    <t>Units of $m(2005) GW-1</t>
  </si>
  <si>
    <r>
      <rPr>
        <sz val="10"/>
        <rFont val="Cambria"/>
        <family val="1"/>
      </rPr>
      <t>5%</t>
    </r>
  </si>
  <si>
    <r>
      <rPr>
        <sz val="10"/>
        <rFont val="Cambria"/>
        <family val="1"/>
      </rPr>
      <t>Small</t>
    </r>
  </si>
  <si>
    <r>
      <rPr>
        <sz val="10"/>
        <rFont val="Cambria"/>
        <family val="1"/>
      </rPr>
      <t>Electrolysis</t>
    </r>
  </si>
  <si>
    <t>Gupta (2009)</t>
  </si>
  <si>
    <r>
      <rPr>
        <sz val="10"/>
        <rFont val="Cambria"/>
        <family val="1"/>
      </rPr>
      <t>Medium</t>
    </r>
  </si>
  <si>
    <t>Small Plant</t>
  </si>
  <si>
    <t>UK_SHEC II (2012)</t>
  </si>
  <si>
    <r>
      <rPr>
        <sz val="10"/>
        <rFont val="Cambria"/>
        <family val="1"/>
      </rPr>
      <t>6%</t>
    </r>
  </si>
  <si>
    <r>
      <rPr>
        <sz val="10"/>
        <rFont val="Cambria"/>
        <family val="1"/>
      </rPr>
      <t>Large</t>
    </r>
  </si>
  <si>
    <r>
      <rPr>
        <sz val="10"/>
        <rFont val="Cambria"/>
        <family val="1"/>
      </rPr>
      <t>Nuclear</t>
    </r>
  </si>
  <si>
    <t>Medium Plant</t>
  </si>
  <si>
    <r>
      <rPr>
        <sz val="10"/>
        <rFont val="Cambria"/>
        <family val="1"/>
      </rPr>
      <t>7%</t>
    </r>
  </si>
  <si>
    <r>
      <rPr>
        <sz val="10"/>
        <rFont val="Cambria"/>
        <family val="1"/>
      </rPr>
      <t>Waste gasification</t>
    </r>
  </si>
  <si>
    <t>Comments</t>
  </si>
  <si>
    <t>Source</t>
  </si>
  <si>
    <t>Volume Units</t>
  </si>
  <si>
    <t>Volume</t>
  </si>
  <si>
    <t>Upper</t>
  </si>
  <si>
    <t>Lower</t>
  </si>
  <si>
    <r>
      <rPr>
        <sz val="10"/>
        <rFont val="Cambria"/>
        <family val="1"/>
      </rPr>
      <t>Biomass oil pyrolysis</t>
    </r>
  </si>
  <si>
    <r>
      <rPr>
        <sz val="10"/>
        <rFont val="Cambria"/>
        <family val="1"/>
      </rPr>
      <t>Biomass gasification</t>
    </r>
  </si>
  <si>
    <t>Summary</t>
  </si>
  <si>
    <t>The efficiency of water electrolyzers lies in the range 58-87%</t>
  </si>
  <si>
    <r>
      <rPr>
        <sz val="10"/>
        <rFont val="Cambria"/>
        <family val="1"/>
      </rPr>
      <t>4%</t>
    </r>
  </si>
  <si>
    <r>
      <rPr>
        <sz val="10"/>
        <rFont val="Cambria"/>
        <family val="1"/>
      </rPr>
      <t>SMR</t>
    </r>
  </si>
  <si>
    <t>Ram B.Gupta, 2009. Hydrogen Fuel: Production, Transport and Storage.ISBN 978-1-4200-4575-8</t>
  </si>
  <si>
    <t>IGCC generation (after coal gasification)</t>
  </si>
  <si>
    <t>Water Electrolysis</t>
  </si>
  <si>
    <r>
      <rPr>
        <sz val="10"/>
        <rFont val="Cambria"/>
        <family val="1"/>
      </rPr>
      <t>Coal gasification</t>
    </r>
  </si>
  <si>
    <t>2025 - 2050</t>
  </si>
  <si>
    <t>2000 - 2025</t>
  </si>
  <si>
    <t>Learning Rate</t>
  </si>
  <si>
    <t>Fixed O&amp;M costs (million ZAR(2010) PJ-1 y-1)</t>
  </si>
  <si>
    <t>Fixed O&amp;M costs ($(2005) GJ-1 y-1)</t>
  </si>
  <si>
    <t>Fixed O&amp;M (% of investment costs)</t>
  </si>
  <si>
    <t>Size</t>
  </si>
  <si>
    <t xml:space="preserve">Technology       </t>
  </si>
  <si>
    <t>Nm3/day = normal m3/day ie: assuming gas at standard temperature and pressure</t>
  </si>
  <si>
    <t>Small SMR Plant</t>
  </si>
  <si>
    <r>
      <rPr>
        <b/>
        <sz val="10"/>
        <color indexed="49"/>
        <rFont val="Cambria"/>
        <family val="1"/>
      </rPr>
      <t>have units $m(2005) GW-1. See the text for a description of the data source.</t>
    </r>
  </si>
  <si>
    <t>Medium SMR Plant</t>
  </si>
  <si>
    <r>
      <rPr>
        <b/>
        <sz val="10"/>
        <color indexed="49"/>
        <rFont val="Cambria"/>
        <family val="1"/>
      </rPr>
      <t>2000–2050, for use in energy systems models. O&amp;M costs have units $(2005) GJ-1 y-1, except for those denoted by * that</t>
    </r>
  </si>
  <si>
    <t>Large SMR Plant</t>
  </si>
  <si>
    <r>
      <rPr>
        <b/>
        <sz val="10"/>
        <color indexed="49"/>
        <rFont val="Cambria"/>
        <family val="1"/>
      </rPr>
      <t>Table 6. Recommended TIAM-UCL annual fixed O&amp;M cost data for hydrogen production technologies for the period</t>
    </r>
  </si>
  <si>
    <t>EIA (2008)</t>
  </si>
  <si>
    <t>67-73%</t>
  </si>
  <si>
    <t>Rand &amp; Dell (2008)</t>
  </si>
  <si>
    <t>75-80%</t>
  </si>
  <si>
    <t>Scholz in Gupta(2009)</t>
  </si>
  <si>
    <t>HHV basis (Case when steam input requires energy in)</t>
  </si>
  <si>
    <t>Nm3/day</t>
  </si>
  <si>
    <t>HHV basis (Case when steam output can't be used)</t>
  </si>
  <si>
    <t>HHV basis - steam inputs and outputs included. Exothermic reaction to oxidsise CO can produce steam for input internally</t>
  </si>
  <si>
    <t>3000 - 30000</t>
  </si>
  <si>
    <t>medium scale for distributed production</t>
  </si>
  <si>
    <t>50 - 3000</t>
  </si>
  <si>
    <t>micro</t>
  </si>
  <si>
    <t>Volume Production (m3 H2)</t>
  </si>
  <si>
    <t>Type</t>
  </si>
  <si>
    <r>
      <rPr>
        <sz val="10"/>
        <rFont val="Cambria"/>
        <family val="1"/>
      </rPr>
      <t>coal gasification)</t>
    </r>
  </si>
  <si>
    <r>
      <rPr>
        <sz val="10"/>
        <rFont val="Cambria"/>
        <family val="1"/>
      </rPr>
      <t>6.3*</t>
    </r>
  </si>
  <si>
    <r>
      <rPr>
        <sz val="10"/>
        <rFont val="Cambria"/>
        <family val="1"/>
      </rPr>
      <t>IGCC generation (after</t>
    </r>
  </si>
  <si>
    <t>The overall thermal efficiencies of steam reformer plants are, at best, only 75-80% and thus, in the absence of CCS the conversion of methane to hydrogen releases significantly more CO2 than burning the methane.</t>
  </si>
  <si>
    <t>Source: Rand &amp; Dell (2008), "Hydrogen Energy Challenges and Prospects"</t>
  </si>
  <si>
    <t>convert 2005$ to 2015 $</t>
  </si>
  <si>
    <r>
      <rPr>
        <b/>
        <sz val="10"/>
        <rFont val="Cambria"/>
        <family val="1"/>
      </rPr>
      <t>Fixed O&amp;M costs</t>
    </r>
  </si>
  <si>
    <r>
      <rPr>
        <b/>
        <sz val="10"/>
        <color indexed="49"/>
        <rFont val="Cambria"/>
        <family val="1"/>
      </rPr>
      <t>2000–2050, for use in energy systems models. O&amp;M costs have units £(2000) GJ-1 y-1, except for those denoted by * that have units £m(2000) GW-1. See the text for a description of the data source.</t>
    </r>
  </si>
  <si>
    <t>kton CH4/PJ IN</t>
  </si>
  <si>
    <t>CH4</t>
  </si>
  <si>
    <r>
      <rPr>
        <b/>
        <sz val="10"/>
        <color indexed="49"/>
        <rFont val="Cambria"/>
        <family val="1"/>
      </rPr>
      <t>Table 5. Recommended UK MARKAL annual fixed O&amp;M cost data for hydrogen production technologies for the period</t>
    </r>
  </si>
  <si>
    <t>kton CO2/PJ IN</t>
  </si>
  <si>
    <t>kton CH4/PJ out</t>
  </si>
  <si>
    <r>
      <rPr>
        <sz val="10"/>
        <rFont val="Cambria"/>
        <family val="1"/>
      </rPr>
      <t>90%</t>
    </r>
  </si>
  <si>
    <r>
      <rPr>
        <sz val="10"/>
        <rFont val="Cambria"/>
        <family val="1"/>
      </rPr>
      <t>85%</t>
    </r>
  </si>
  <si>
    <r>
      <rPr>
        <sz val="10"/>
        <rFont val="Cambria"/>
        <family val="1"/>
      </rPr>
      <t>75%</t>
    </r>
  </si>
  <si>
    <t>kton CO2 eq/PJ out</t>
  </si>
  <si>
    <t>Nm3/Nm3 H2 produced</t>
  </si>
  <si>
    <t>CO2 emissions(77.65% of GHG):</t>
  </si>
  <si>
    <t>kton CO2/PJ out</t>
  </si>
  <si>
    <t>kg CO2 eq/kg net H2 Produced</t>
  </si>
  <si>
    <t>GHG Emissions of SMR =</t>
  </si>
  <si>
    <t>Spath &amp; Mann in Gupta:</t>
  </si>
  <si>
    <t>efficiency</t>
  </si>
  <si>
    <r>
      <rPr>
        <sz val="10"/>
        <rFont val="Cambria"/>
        <family val="1"/>
      </rPr>
      <t>50%</t>
    </r>
  </si>
  <si>
    <t>kg/MJ (LHV)</t>
  </si>
  <si>
    <t>Emission Factor</t>
  </si>
  <si>
    <t>GHG Emissions</t>
  </si>
  <si>
    <t>Calculations</t>
  </si>
  <si>
    <t>AFA</t>
  </si>
  <si>
    <t>HHV basis (steam input requires energy in)</t>
  </si>
  <si>
    <t>M$/PJ; $/GJ</t>
  </si>
  <si>
    <t>CAPEX</t>
  </si>
  <si>
    <t>HHV basis (steam output can't be used)</t>
  </si>
  <si>
    <r>
      <rPr>
        <sz val="10"/>
        <rFont val="Cambria"/>
        <family val="1"/>
      </rPr>
      <t>80%</t>
    </r>
  </si>
  <si>
    <r>
      <rPr>
        <sz val="10"/>
        <rFont val="Cambria"/>
        <family val="1"/>
      </rPr>
      <t>65%</t>
    </r>
  </si>
  <si>
    <t>$2017/kW.H2</t>
  </si>
  <si>
    <t>IEA (2019)</t>
  </si>
  <si>
    <r>
      <rPr>
        <sz val="10"/>
        <rFont val="Cambria"/>
        <family val="1"/>
      </rPr>
      <t>60%</t>
    </r>
  </si>
  <si>
    <t>hydrogen plant efficiency</t>
  </si>
  <si>
    <t>Note: The SMR processes both uses and produces steam</t>
  </si>
  <si>
    <t xml:space="preserve"> Investment costs   ( million ZAR(2010) PJ-1 y-1)</t>
  </si>
  <si>
    <t xml:space="preserve"> Energy efficiency</t>
  </si>
  <si>
    <t xml:space="preserve"> Investment costs   ( $(2005) GJ-1 y-1)</t>
  </si>
  <si>
    <t xml:space="preserve"> First year   </t>
  </si>
  <si>
    <t xml:space="preserve">  Size       </t>
  </si>
  <si>
    <t xml:space="preserve">Technology                                </t>
  </si>
  <si>
    <t>1 gge is equivalent to 1 kg of hydrogen</t>
  </si>
  <si>
    <t>Conversion to compare with IEA (2019) $2017/kWhH2 [USD 2005-&gt;2017]</t>
  </si>
  <si>
    <t xml:space="preserve">The cost is estimated at $5/gasoline gallon equivalent (gge) 2003 US dollar </t>
  </si>
  <si>
    <t>kgO2/kgH2</t>
  </si>
  <si>
    <r>
      <rPr>
        <b/>
        <sz val="9"/>
        <color indexed="49"/>
        <rFont val="Calibri"/>
        <family val="2"/>
      </rPr>
      <t>by 0.05. Investment costs have units $(2005) GJ</t>
    </r>
    <r>
      <rPr>
        <b/>
        <sz val="6"/>
        <color indexed="49"/>
        <rFont val="Calibri"/>
        <family val="2"/>
      </rPr>
      <t xml:space="preserve">-1 </t>
    </r>
    <r>
      <rPr>
        <b/>
        <sz val="9"/>
        <color indexed="49"/>
        <rFont val="Calibri"/>
        <family val="2"/>
      </rPr>
      <t>y</t>
    </r>
    <r>
      <rPr>
        <b/>
        <sz val="6"/>
        <color indexed="49"/>
        <rFont val="Calibri"/>
        <family val="2"/>
      </rPr>
      <t>-1</t>
    </r>
    <r>
      <rPr>
        <b/>
        <sz val="9"/>
        <color indexed="49"/>
        <rFont val="Calibri"/>
        <family val="2"/>
      </rPr>
      <t>, except for those denoted by * that have units $m(2005) GW</t>
    </r>
    <r>
      <rPr>
        <b/>
        <sz val="6"/>
        <color indexed="49"/>
        <rFont val="Calibri"/>
        <family val="2"/>
      </rPr>
      <t>-1</t>
    </r>
    <r>
      <rPr>
        <b/>
        <sz val="9"/>
        <color indexed="49"/>
        <rFont val="Calibri"/>
        <family val="2"/>
      </rPr>
      <t>. See the text for a description of the data source.</t>
    </r>
  </si>
  <si>
    <t>Hydrogen produced by SMR at distributed scale is assumed to be more economical than central SMR production</t>
  </si>
  <si>
    <t>kg H2O/kg O2</t>
  </si>
  <si>
    <t>Water Use:O2</t>
  </si>
  <si>
    <r>
      <rPr>
        <b/>
        <sz val="9"/>
        <color indexed="49"/>
        <rFont val="Calibri"/>
        <family val="2"/>
      </rPr>
      <t>the period 2000–2050, for use in energy systems models. Technologies with CCS should reduce the energy efficiencies</t>
    </r>
  </si>
  <si>
    <t xml:space="preserve">95% of hydrogen produced in the world comes from fossil fuels. </t>
  </si>
  <si>
    <t>O2</t>
  </si>
  <si>
    <t>Table 4. Recommended TIAM-UCL investment cost and energy efficiency data for hydrogen production technologies for</t>
  </si>
  <si>
    <t>Capacity range (100 t/h of H2&lt;H&lt;1t/h of H2. 100 t/h for ammonia manufacturing plants and &lt;1 t/h for small decentralised systems</t>
  </si>
  <si>
    <t>used to produce 40% of world hydrogen</t>
  </si>
  <si>
    <r>
      <rPr>
        <sz val="11"/>
        <rFont val="Calibri"/>
        <family val="2"/>
      </rPr>
      <t>90%</t>
    </r>
  </si>
  <si>
    <r>
      <rPr>
        <sz val="11"/>
        <rFont val="Calibri"/>
        <family val="2"/>
      </rPr>
      <t>85%</t>
    </r>
  </si>
  <si>
    <r>
      <rPr>
        <sz val="11"/>
        <rFont val="Calibri"/>
        <family val="2"/>
      </rPr>
      <t>75%</t>
    </r>
  </si>
  <si>
    <r>
      <rPr>
        <sz val="11"/>
        <rFont val="Calibri"/>
        <family val="2"/>
      </rPr>
      <t>Electrolysis</t>
    </r>
  </si>
  <si>
    <t>Steam methane reforming (SMR), the most widely used being Catalytic steam reforming - it is the least expensive</t>
  </si>
  <si>
    <t>kg H2O/MJ (LHV)</t>
  </si>
  <si>
    <t>kg H2O/MJ (HHV)</t>
  </si>
  <si>
    <r>
      <rPr>
        <sz val="11"/>
        <rFont val="Calibri"/>
        <family val="2"/>
      </rPr>
      <t>Nuclear</t>
    </r>
  </si>
  <si>
    <t>kg H2O/kg H2</t>
  </si>
  <si>
    <t>Water Use:H2</t>
  </si>
  <si>
    <r>
      <rPr>
        <sz val="11"/>
        <rFont val="Calibri"/>
        <family val="2"/>
      </rPr>
      <t>50%</t>
    </r>
  </si>
  <si>
    <r>
      <rPr>
        <sz val="11"/>
        <rFont val="Calibri"/>
        <family val="2"/>
      </rPr>
      <t>Waste gasification</t>
    </r>
  </si>
  <si>
    <t>Steam Methane Reforming (SMR)</t>
  </si>
  <si>
    <r>
      <rPr>
        <sz val="11"/>
        <rFont val="Calibri"/>
        <family val="2"/>
      </rPr>
      <t>Biomass oil pyrolysis</t>
    </r>
  </si>
  <si>
    <t>https://www.webqc.org/molecular-weight-of-o.html</t>
  </si>
  <si>
    <t>Molar Mass O:</t>
  </si>
  <si>
    <r>
      <rPr>
        <sz val="11"/>
        <rFont val="Calibri"/>
        <family val="2"/>
      </rPr>
      <t>Biomass gasification</t>
    </r>
  </si>
  <si>
    <t>(Adapted from NREL (2002), "Hydrogen Supply: Cost Estimate for Hydrogen Pathways Scoping Analysis")</t>
  </si>
  <si>
    <t>https://www.webqc.org/molecular-weight-of-h.html</t>
  </si>
  <si>
    <t>Molar Mass H:</t>
  </si>
  <si>
    <t>WATER CONSUMPTION CALCS - INLAND ELECTROLYSIS</t>
  </si>
  <si>
    <r>
      <rPr>
        <b/>
        <sz val="11"/>
        <color indexed="8"/>
        <rFont val="Calibri"/>
        <family val="2"/>
      </rPr>
      <t>Electrolysis</t>
    </r>
    <r>
      <rPr>
        <sz val="11"/>
        <color theme="1"/>
        <rFont val="Calibri"/>
        <family val="2"/>
        <scheme val="minor"/>
      </rPr>
      <t xml:space="preserve"> to split hydrogen and water</t>
    </r>
  </si>
  <si>
    <r>
      <rPr>
        <sz val="11"/>
        <rFont val="Calibri"/>
        <family val="2"/>
      </rPr>
      <t>80%</t>
    </r>
  </si>
  <si>
    <r>
      <rPr>
        <sz val="11"/>
        <rFont val="Calibri"/>
        <family val="2"/>
      </rPr>
      <t>65%</t>
    </r>
  </si>
  <si>
    <r>
      <rPr>
        <sz val="11"/>
        <rFont val="Calibri"/>
        <family val="2"/>
      </rPr>
      <t>SMR</t>
    </r>
  </si>
  <si>
    <r>
      <rPr>
        <b/>
        <sz val="11"/>
        <color indexed="8"/>
        <rFont val="Calibri"/>
        <family val="2"/>
      </rPr>
      <t>Gasification</t>
    </r>
    <r>
      <rPr>
        <sz val="11"/>
        <color theme="1"/>
        <rFont val="Calibri"/>
        <family val="2"/>
        <scheme val="minor"/>
      </rPr>
      <t xml:space="preserve"> or partial oxidation (PO) is more flexible than reforming - it could process a range of gaseous, liquid and solid feedstocks such as coal, residual oils, ethanol or solid biomass</t>
    </r>
  </si>
  <si>
    <t>120 - 140</t>
  </si>
  <si>
    <t>Octane Rating</t>
  </si>
  <si>
    <r>
      <rPr>
        <b/>
        <sz val="11"/>
        <color indexed="8"/>
        <rFont val="Calibri"/>
        <family val="2"/>
      </rPr>
      <t>Reforming</t>
    </r>
    <r>
      <rPr>
        <sz val="11"/>
        <color theme="1"/>
        <rFont val="Calibri"/>
        <family val="2"/>
        <scheme val="minor"/>
      </rPr>
      <t xml:space="preserve"> is the technology of choice for converting gaseous and light liquid hydrocarbons</t>
    </r>
  </si>
  <si>
    <t>LHV</t>
  </si>
  <si>
    <t>HHV</t>
  </si>
  <si>
    <r>
      <rPr>
        <sz val="11"/>
        <rFont val="Calibri"/>
        <family val="2"/>
      </rPr>
      <t>60%</t>
    </r>
  </si>
  <si>
    <r>
      <rPr>
        <sz val="11"/>
        <rFont val="Calibri"/>
        <family val="2"/>
      </rPr>
      <t>126*</t>
    </r>
  </si>
  <si>
    <t>There are many laboratory proven hydrogen production processes ranging from large scale gasification of coal similar to the SASOL process to photosynthesis by specially bio-engineered algae. Commercially proven technologies however fall into one of the following 3 families of processes:</t>
  </si>
  <si>
    <t>g/litre</t>
  </si>
  <si>
    <t>density of liquid hydrogen</t>
  </si>
  <si>
    <r>
      <rPr>
        <sz val="11"/>
        <rFont val="Calibri"/>
        <family val="2"/>
      </rPr>
      <t>Coal gasification</t>
    </r>
  </si>
  <si>
    <t>General Notes</t>
  </si>
  <si>
    <t>kg/m3</t>
  </si>
  <si>
    <t>density at standard conditions</t>
  </si>
  <si>
    <t>deg. C</t>
  </si>
  <si>
    <t>Boiling Point</t>
  </si>
  <si>
    <t>Investment costs</t>
  </si>
  <si>
    <t>First year</t>
  </si>
  <si>
    <t xml:space="preserve">Technology    </t>
  </si>
  <si>
    <t>kg/kmol</t>
  </si>
  <si>
    <t>Molar Mass</t>
  </si>
  <si>
    <r>
      <rPr>
        <b/>
        <sz val="9"/>
        <color indexed="49"/>
        <rFont val="Calibri"/>
        <family val="2"/>
      </rPr>
      <t>£m(2000) GW</t>
    </r>
    <r>
      <rPr>
        <b/>
        <sz val="6"/>
        <color indexed="49"/>
        <rFont val="Calibri"/>
        <family val="2"/>
      </rPr>
      <t>-1</t>
    </r>
    <r>
      <rPr>
        <b/>
        <sz val="9"/>
        <color indexed="49"/>
        <rFont val="Calibri"/>
        <family val="2"/>
      </rPr>
      <t>.  See the text for a description of the data source.</t>
    </r>
  </si>
  <si>
    <t>kJ/(kg.K)</t>
  </si>
  <si>
    <t>Ideal Gas Constant R</t>
  </si>
  <si>
    <r>
      <rPr>
        <b/>
        <sz val="9"/>
        <color indexed="49"/>
        <rFont val="Calibri"/>
        <family val="2"/>
      </rPr>
      <t>for the period 2000–2050, for use in energy systems models. Technologies with CCS should reduce the energy efficiencies by 0.05. Investment costs have units £(2000) GJ</t>
    </r>
    <r>
      <rPr>
        <b/>
        <sz val="6"/>
        <color indexed="49"/>
        <rFont val="Calibri"/>
        <family val="2"/>
      </rPr>
      <t xml:space="preserve">-1 </t>
    </r>
    <r>
      <rPr>
        <b/>
        <sz val="9"/>
        <color indexed="49"/>
        <rFont val="Calibri"/>
        <family val="2"/>
      </rPr>
      <t>y</t>
    </r>
    <r>
      <rPr>
        <b/>
        <sz val="6"/>
        <color indexed="49"/>
        <rFont val="Calibri"/>
        <family val="2"/>
      </rPr>
      <t>-1</t>
    </r>
    <r>
      <rPr>
        <b/>
        <sz val="9"/>
        <color indexed="49"/>
        <rFont val="Calibri"/>
        <family val="2"/>
      </rPr>
      <t>, except for those denoted by * that have units</t>
    </r>
  </si>
  <si>
    <r>
      <rPr>
        <b/>
        <sz val="9"/>
        <color indexed="49"/>
        <rFont val="Calibri"/>
        <family val="2"/>
      </rPr>
      <t>Table 3. Recommended UK MARKAL investment cost and energy efficiency data for hydrogen production technologies</t>
    </r>
  </si>
  <si>
    <t>http://www.psi.org.uk/pdf/2008/HydrogenMARKAL_report.pdf</t>
  </si>
  <si>
    <t>http://www.wholesem.ac.uk/bartlett/energy/research/themes/energy-systems/hydrogen/</t>
  </si>
  <si>
    <t>CONSTANTS</t>
  </si>
  <si>
    <t>UK SHEC PROJECT MARKAL MODEL HYDROGEN SUPPLY TECHNOLOGY TABLES</t>
  </si>
  <si>
    <t>Contents</t>
  </si>
  <si>
    <t>tlife.hrs</t>
  </si>
  <si>
    <t>Alk</t>
  </si>
  <si>
    <t>PEM</t>
  </si>
  <si>
    <t>life (hr)</t>
  </si>
  <si>
    <t>Stack lifetime</t>
  </si>
  <si>
    <t>ZAR 2019 mR/PJ</t>
  </si>
  <si>
    <t>ZAR 2019 R/kW</t>
  </si>
  <si>
    <t>M$/PJ</t>
  </si>
  <si>
    <t>$/J</t>
  </si>
  <si>
    <t>Joules</t>
  </si>
  <si>
    <t>UNITS</t>
  </si>
  <si>
    <t>$Mil.PJ</t>
  </si>
  <si>
    <t>conservative</t>
  </si>
  <si>
    <t>optimistic</t>
  </si>
  <si>
    <t>2019USD/kWe</t>
  </si>
  <si>
    <t>Alkaline</t>
  </si>
  <si>
    <t>IEA long term lower bound</t>
  </si>
  <si>
    <t>OR</t>
  </si>
  <si>
    <t>For comparison, the lower heating value (LHV) of hydrogen is 33.3 kWh/kg H2.</t>
  </si>
  <si>
    <t>LHV-H2</t>
  </si>
  <si>
    <t>ZAR2019-&gt;ZAR2010</t>
  </si>
  <si>
    <t>USD2017-&gt;ZAR2015</t>
  </si>
  <si>
    <t>UELEA1HGN</t>
  </si>
  <si>
    <t>UELEP1HGN</t>
  </si>
  <si>
    <t>Electrical Efficiency (LHV)</t>
  </si>
  <si>
    <t xml:space="preserve">AFA </t>
  </si>
  <si>
    <t>Tlife</t>
  </si>
  <si>
    <t>FOM</t>
  </si>
  <si>
    <t>INVcost (2015 R/kW)</t>
  </si>
  <si>
    <t>Projected from IEA (2019) data</t>
  </si>
  <si>
    <t>Production Plant Hydrogen Electrolysis Alkaline</t>
  </si>
  <si>
    <t>UELEA1</t>
  </si>
  <si>
    <t>Production Plant Hydrogen Electrolysis PEM</t>
  </si>
  <si>
    <t>UELEP1</t>
  </si>
  <si>
    <t>Electrolysis</t>
  </si>
  <si>
    <t>Houchins C. and James B.D. (2020)  2020 DOE Hydrogen and Fuel Cells Program Review:  Hydrogen Storage Cost Analysis (ST100)</t>
  </si>
  <si>
    <t>E4Tech  (2012)  Electrolysis in the EU APPENDIX 2B FCHJU ElectrolysisStudy (ID 1329459)</t>
  </si>
  <si>
    <t>[11] M Bracha, et al., “Large-Scale Hydrogen Liquefaction in Germany” International Journal of Hydrogen Energy 19 (Jan 1994) pp. 53-59.</t>
  </si>
  <si>
    <t>[10] Personal communication with Joseph P. Cohen at APCI. Assuming a normal compressor, and typical ambient temperature conditions compression energy is: 2.05kWh/kg for 350(440) bar, 2.36 for 500(630) bar, and 2.67 for 700(880) bar. Cooling energy ranges from 0.1 to .45 kWh/kg. Cooling energy from 30º C ambient to -40º C and -20º C is 0.45, 0.18 kWh/kg. Cooling energy from 15º C ambient to -40º C and -20º C is 0.33, 0.1 kWh/kg. Typically no cooling is needed for 350 bar. The APCI, hydrogen liquefier in New Orleans is sized for approximately 55,000 kg/day.</t>
  </si>
  <si>
    <t>[9] DOE Hydrogen Delivery Website and Model http://www.hydrogen.energy.gov/h2a_delivery.html (HDSAM V2.0.6)</t>
  </si>
  <si>
    <t>http://www.eihp.org/unece/drafts/cgh2/GRPE_12a-b/CGH2R-12b.pdf</t>
  </si>
  <si>
    <t>EU 2.35 Factor of Safety Table 7A.5: Minimum Burst Pressure Ratios P. 59-60,</t>
  </si>
  <si>
    <t>http://www-nrd.nhtsa.dot.gov/pdf/nrd-01/esv/esv20/07-0046-O.pdf</t>
  </si>
  <si>
    <t>DOT 2.25 Factor of Safety, Table 4: Hydrogen Cylinder Test Matrix P. 6</t>
  </si>
  <si>
    <t>http://www.eere.energy.gov/hydrogenandfuelcells/storage/hydrogen_storage_testing.html</t>
  </si>
  <si>
    <t>[8] DOE, Website on Tank Safety.</t>
  </si>
  <si>
    <t>http://www.hydrogen.energy.gov/pdfs/review09/pd_37_barclay.pdf</t>
  </si>
  <si>
    <t>[7] Active Magnetic Regenerative Liquefier, John Barclay, Prometheus Energy DOE Annual Merit Review, May 2009</t>
  </si>
  <si>
    <t>[6] Peschka, W. (1992). “Liquid Hydrogen.” Springer-Verlag, New York.</t>
  </si>
  <si>
    <t>[5] Report: “H2A Hydrogen Delivery Infrastructure Analysis Models and Conventional Pathway Options Analysis Results”, May 2008, http://www.hydrogen.energy.gov/h2a_delivery.html</t>
  </si>
  <si>
    <t>http://www.eere.energy.gov/hydrogenandfuelcells/hydrogen_publications.html#h2_storage</t>
  </si>
  <si>
    <t>TIAX LLC, Argonne National Laboratory, 2009</t>
  </si>
  <si>
    <t>[4] Technical Assessment of Compressed Hydrogen Storage for Automotive Applications</t>
  </si>
  <si>
    <t>http://www.nextenergy.org/Modules/Document/upload_documents/Fueling Specification for 70 MPa Compressed Hydrogen Vehicles Release Version A.pdf</t>
  </si>
  <si>
    <t>[3] Next Energy 70MPa Specification Documents:</t>
  </si>
  <si>
    <t>Reported average efficiency of 3.1 kWh/kg for 1 quarter reported data for on site hydrogen generation with a range of 7 to 16 MJ/kg (2 to 4 kWh/kg) excluding outliers</t>
  </si>
  <si>
    <t>Refueling Station Compressor Efficiency, CDP #61, 3/2/09 http://www.nrel.gov/hydrogen/docs/cdp/cdp_61.ppt</t>
  </si>
  <si>
    <t>[2] NREL Composite Data Products from the DOE Tech Validation Program http://www.nrel.gov/hydrogen/proj_learning_demo.html</t>
  </si>
  <si>
    <t>http://webbook.nist.gov/chemistry/</t>
  </si>
  <si>
    <t>[1] NIST Web book site:</t>
  </si>
  <si>
    <t>Compression energy</t>
  </si>
  <si>
    <t>Bar</t>
  </si>
  <si>
    <t>Total USD (2020)</t>
  </si>
  <si>
    <t>DoE (2009)</t>
  </si>
  <si>
    <t>Assembly</t>
  </si>
  <si>
    <t>$15/ft</t>
  </si>
  <si>
    <t>35 ft.</t>
  </si>
  <si>
    <t>Tubing</t>
  </si>
  <si>
    <t>$156 each</t>
  </si>
  <si>
    <t>Pressure Gauges (analog)</t>
  </si>
  <si>
    <t>$1,250 each</t>
  </si>
  <si>
    <t>Block &amp; Bleed Valve</t>
  </si>
  <si>
    <t>$300 each</t>
  </si>
  <si>
    <t>Valve Box./Common Manifold</t>
  </si>
  <si>
    <t>$270 each</t>
  </si>
  <si>
    <t>Manual Shutoff Valves</t>
  </si>
  <si>
    <t>$3,000 each</t>
  </si>
  <si>
    <t>Pressure Relief Device (PRD)</t>
  </si>
  <si>
    <t>Balance of System</t>
  </si>
  <si>
    <t>$50,000/structure</t>
  </si>
  <si>
    <t>Steel Containment Structure</t>
  </si>
  <si>
    <t>$40,000/trailer</t>
  </si>
  <si>
    <t>40’ Trailer</t>
  </si>
  <si>
    <t>$76,851/vessel</t>
  </si>
  <si>
    <t>Type 4 220 kgH2 capacity Pressure Vessel</t>
  </si>
  <si>
    <t>Cost per Trailer @100 Trailers per Year</t>
  </si>
  <si>
    <t>Cost per Unit @100 Trailers per Year</t>
  </si>
  <si>
    <t>Quantity Per System</t>
  </si>
  <si>
    <t>Unit</t>
  </si>
  <si>
    <t>Gotthold (2015 AMR)</t>
  </si>
  <si>
    <t>Carbon fiber volume fraction</t>
  </si>
  <si>
    <t>Adams (2019)</t>
  </si>
  <si>
    <r>
      <rPr>
        <sz val="9"/>
        <rFont val="Calibri"/>
        <family val="2"/>
      </rPr>
      <t>T700S/
Vinyl Ester</t>
    </r>
  </si>
  <si>
    <t>Cascade and Tube Trailer Storage Composite</t>
  </si>
  <si>
    <t>Hexagon Titan XL</t>
  </si>
  <si>
    <t>NA</t>
  </si>
  <si>
    <t>Tube Trailer Pressure (bar)</t>
  </si>
  <si>
    <r>
      <t>Tube Trailer Capacity (kgH</t>
    </r>
    <r>
      <rPr>
        <vertAlign val="subscript"/>
        <sz val="9"/>
        <rFont val="Calibri"/>
        <family val="2"/>
      </rPr>
      <t>2</t>
    </r>
    <r>
      <rPr>
        <sz val="9"/>
        <rFont val="Calibri"/>
        <family val="2"/>
      </rPr>
      <t>)</t>
    </r>
  </si>
  <si>
    <t>Type 4</t>
  </si>
  <si>
    <t>Tube Trailer Vessel Type</t>
  </si>
  <si>
    <t>ANL optimization parameter</t>
  </si>
  <si>
    <t>300-950</t>
  </si>
  <si>
    <t>Cascade Storage Pressure (bar)</t>
  </si>
  <si>
    <t>Based on Linde and FIBA Tech design</t>
  </si>
  <si>
    <t>Type 2</t>
  </si>
  <si>
    <t>Cascade Vessel Type</t>
  </si>
  <si>
    <t>No. of Tanks per Module in Cascade Storage Bank</t>
  </si>
  <si>
    <t>Max dispensed pressure is higher 875 bar</t>
  </si>
  <si>
    <t>Target Vehicle Pressure (bar)</t>
  </si>
  <si>
    <t>Date: October 26th, 2009</t>
  </si>
  <si>
    <t>ANL assumption based on Linde design</t>
  </si>
  <si>
    <r>
      <t>Module Dispensing Capacity (kgH</t>
    </r>
    <r>
      <rPr>
        <vertAlign val="subscript"/>
        <sz val="9"/>
        <rFont val="Calibri"/>
        <family val="2"/>
      </rPr>
      <t>2</t>
    </r>
    <r>
      <rPr>
        <sz val="9"/>
        <rFont val="Calibri"/>
        <family val="2"/>
      </rPr>
      <t>/day/module)</t>
    </r>
  </si>
  <si>
    <t>Approved by: Sunita Satyapal</t>
  </si>
  <si>
    <t>ANL/Linde design</t>
  </si>
  <si>
    <t>Number of refueling modules</t>
  </si>
  <si>
    <t>Originator: Monterey Gardiner</t>
  </si>
  <si>
    <t>HRSAM</t>
  </si>
  <si>
    <r>
      <t>Station Max Daily Dispensing Capacity (kgH</t>
    </r>
    <r>
      <rPr>
        <vertAlign val="subscript"/>
        <sz val="9"/>
        <rFont val="Calibri"/>
        <family val="2"/>
      </rPr>
      <t>2</t>
    </r>
    <r>
      <rPr>
        <sz val="9"/>
        <rFont val="Calibri"/>
        <family val="2"/>
      </rPr>
      <t>/day)</t>
    </r>
  </si>
  <si>
    <t>Title: Energy requirements for hydrogen gas compression and liquefaction as related to vehicle storage needs</t>
  </si>
  <si>
    <t>Dewer</t>
  </si>
  <si>
    <t>Tube Trailer</t>
  </si>
  <si>
    <t>Bulk Storage Method Assumption</t>
  </si>
  <si>
    <t>Date: July 7th, 2009</t>
  </si>
  <si>
    <r>
      <rPr>
        <b/>
        <sz val="11"/>
        <color rgb="FFFFFFFF"/>
        <rFont val="Calibri"/>
        <family val="2"/>
      </rPr>
      <t>Notes/Design Basis</t>
    </r>
  </si>
  <si>
    <r>
      <rPr>
        <b/>
        <sz val="11"/>
        <color rgb="FFFFFFFF"/>
        <rFont val="Calibri"/>
        <family val="2"/>
      </rPr>
      <t>LH2</t>
    </r>
  </si>
  <si>
    <r>
      <rPr>
        <b/>
        <sz val="11"/>
        <color rgb="FFFFFFFF"/>
        <rFont val="Calibri"/>
        <family val="2"/>
      </rPr>
      <t>GH2</t>
    </r>
  </si>
  <si>
    <r>
      <rPr>
        <b/>
        <sz val="11"/>
        <color rgb="FFFFFFFF"/>
        <rFont val="Calibri"/>
        <family val="2"/>
      </rPr>
      <t>Parameter</t>
    </r>
  </si>
  <si>
    <t>Record #: 9013</t>
  </si>
  <si>
    <t>DOE Hydrogen and Fuel Cells Program Record</t>
  </si>
  <si>
    <t>https://www.hydrogen.energy.gov/pdfs/9013_energy_requirements_for_hydrogen_gas_compression.pdf</t>
  </si>
  <si>
    <t>Analyzed 700 bar LDV System Cost Reduction Strategies &amp; Identified Path to Near Ultimate DOE $/kWh target</t>
  </si>
  <si>
    <t>https://www.energy.gov/eere/fuelcells/doe-technical-targets-hydrogen-delivery</t>
  </si>
  <si>
    <t>https://www.hydrogen.energy.gov/storage.html</t>
  </si>
  <si>
    <t>Images taken from https://hdsam.es.anl.gov/</t>
  </si>
  <si>
    <t>logarithmic</t>
  </si>
  <si>
    <t>linear-trend</t>
  </si>
  <si>
    <t>a2</t>
  </si>
  <si>
    <t>a1</t>
  </si>
  <si>
    <t>Chart</t>
  </si>
  <si>
    <t>Tube Trailer x4</t>
  </si>
  <si>
    <t>bar</t>
  </si>
  <si>
    <t>kg</t>
  </si>
  <si>
    <t>USD (2020)</t>
  </si>
  <si>
    <t>Units</t>
  </si>
  <si>
    <t>Pressure (Bar)</t>
  </si>
  <si>
    <t>Capacity</t>
  </si>
  <si>
    <t>Capex</t>
  </si>
  <si>
    <t>Storage</t>
  </si>
  <si>
    <t>daynite</t>
  </si>
  <si>
    <t>vehicle</t>
  </si>
  <si>
    <t>pipeline</t>
  </si>
  <si>
    <t>seasonal</t>
  </si>
  <si>
    <t>turbine</t>
  </si>
  <si>
    <t>Compression (kWh/kg)</t>
  </si>
  <si>
    <t>Compressor efficiency</t>
  </si>
  <si>
    <t>H2 pressure from electrolyser</t>
  </si>
  <si>
    <t>time period</t>
  </si>
  <si>
    <t>application</t>
  </si>
  <si>
    <t>pressure (bar)</t>
  </si>
  <si>
    <t>CH2</t>
  </si>
  <si>
    <t xml:space="preserve">Large scale </t>
  </si>
  <si>
    <t>https://www.in2013dollars.com/us/inflation/2016?endYear=2020&amp;amount=1</t>
  </si>
  <si>
    <t>USD2016-&gt;2020</t>
  </si>
  <si>
    <t>ZAR 2020 -&gt; ZAR 2015</t>
  </si>
  <si>
    <t>https://www.resbank.co.za/en/home</t>
  </si>
  <si>
    <t>USD 2020 -&gt; ZAR 2020</t>
  </si>
  <si>
    <t>Currency</t>
  </si>
  <si>
    <t>2015 mR/PJ</t>
  </si>
  <si>
    <t>ZAR2015/kg</t>
  </si>
  <si>
    <t>USD-2020/kg</t>
  </si>
  <si>
    <t>DoE target-2020</t>
  </si>
  <si>
    <t>DoE target</t>
  </si>
  <si>
    <t>mR</t>
  </si>
  <si>
    <t>ZAR</t>
  </si>
  <si>
    <r>
      <t>10E</t>
    </r>
    <r>
      <rPr>
        <vertAlign val="superscript"/>
        <sz val="11"/>
        <color theme="1"/>
        <rFont val="Calibri"/>
        <family val="2"/>
        <scheme val="minor"/>
      </rPr>
      <t>x</t>
    </r>
  </si>
  <si>
    <t>MJ</t>
  </si>
  <si>
    <t>scaling factor</t>
  </si>
  <si>
    <t>PJ/PJ</t>
  </si>
  <si>
    <t>XTRAHGN</t>
  </si>
  <si>
    <t>n/a</t>
  </si>
  <si>
    <t>HGNXUPS</t>
  </si>
  <si>
    <t>ELC</t>
  </si>
  <si>
    <t xml:space="preserve"> Efficiency</t>
  </si>
  <si>
    <t>Compression</t>
  </si>
  <si>
    <t>HGNSTSUTL</t>
  </si>
  <si>
    <t>estimate</t>
  </si>
  <si>
    <t>STG_EFF</t>
  </si>
  <si>
    <t>yrs</t>
  </si>
  <si>
    <t>2015 mR/PJa</t>
  </si>
  <si>
    <t>NCAP_BND</t>
  </si>
  <si>
    <t>Production Plant Hydrogen - Large Coal Gasification</t>
  </si>
  <si>
    <t>Production Plant Hydrogen - Large SMR - Coastal</t>
  </si>
  <si>
    <t>Production Plant Hydrogen - Large SMR - Inland</t>
  </si>
  <si>
    <t>kton/PJ</t>
  </si>
  <si>
    <t>mR/Pj</t>
  </si>
  <si>
    <t>mR/Pja</t>
  </si>
  <si>
    <t xml:space="preserve">Annual </t>
  </si>
  <si>
    <t>(sum OUT/IN)</t>
  </si>
  <si>
    <t>*Units</t>
  </si>
  <si>
    <t>Variable O&amp;M Cost</t>
  </si>
  <si>
    <t>Fixed O&amp;M Cost</t>
  </si>
  <si>
    <t>Investment Cost</t>
  </si>
  <si>
    <t>Start Year</t>
  </si>
  <si>
    <t>Minimum Utilisation factor</t>
  </si>
  <si>
    <t>Utilisation factor</t>
  </si>
  <si>
    <t>Output</t>
  </si>
  <si>
    <t>Auxiliary Input fuels</t>
  </si>
  <si>
    <t>Technology Name</t>
  </si>
  <si>
    <t>*Technology Description</t>
  </si>
  <si>
    <t>Start</t>
  </si>
  <si>
    <t>Life</t>
  </si>
  <si>
    <t>Comm-Out</t>
  </si>
  <si>
    <t>Comm-IN-A</t>
  </si>
  <si>
    <t>South Africa</t>
  </si>
  <si>
    <t>USMRGASHGN</t>
  </si>
  <si>
    <t>USMRGICHGN</t>
  </si>
  <si>
    <t>UCOGCLEHGN</t>
  </si>
  <si>
    <t>UPSGAS</t>
  </si>
  <si>
    <t>UPSGIC</t>
  </si>
  <si>
    <t>UPSCLE</t>
  </si>
  <si>
    <t>Hydrogen Production</t>
  </si>
  <si>
    <t>AFA~UP</t>
  </si>
  <si>
    <t>AFA~LO</t>
  </si>
  <si>
    <t>Auxilliary inputs</t>
  </si>
  <si>
    <t>ENV_ACT~CO2C</t>
  </si>
  <si>
    <t>ZAR/USD Exchange Rate from IRP 2016:</t>
  </si>
  <si>
    <t>Country Name</t>
  </si>
  <si>
    <t>Real effective exchange rate index (2005 = 100)</t>
  </si>
  <si>
    <t>Multiplier</t>
  </si>
  <si>
    <t xml:space="preserve">Official Exchange Rate (LCU per US$, period average) </t>
  </si>
  <si>
    <t>United States</t>
  </si>
  <si>
    <t>GDP deflator (annual change %) for US from "The World Bank"</t>
  </si>
  <si>
    <t>or divide by</t>
  </si>
  <si>
    <t>multipy by</t>
  </si>
  <si>
    <t>Conversion factor</t>
  </si>
  <si>
    <t>Rands</t>
  </si>
  <si>
    <t>Year to Convert to</t>
  </si>
  <si>
    <t>Year to Convert from</t>
  </si>
  <si>
    <t>downloaded July 2013</t>
  </si>
  <si>
    <t>http://search.worldbank.org/data?qterm=gdp%20deflator%20%22south%20africa%22&amp;language=EN</t>
  </si>
  <si>
    <t>GDP deflator (annual change %) for South Africa from "The World Bank"</t>
  </si>
  <si>
    <t>http://beta2.statssa.gov.za/publications/P0141/CPIHistory.pdf</t>
  </si>
  <si>
    <t>INVCOST~2017</t>
  </si>
  <si>
    <t>INVCOST~2030</t>
  </si>
  <si>
    <t>INVCOST~2050</t>
  </si>
  <si>
    <t>EFF~2017</t>
  </si>
  <si>
    <t>EFF~2040</t>
  </si>
  <si>
    <t>INVCOST~2040</t>
  </si>
  <si>
    <t>2015-&gt;2022 ZAR</t>
  </si>
  <si>
    <t>Pja</t>
  </si>
  <si>
    <t>Annual</t>
  </si>
  <si>
    <t>GW</t>
  </si>
  <si>
    <t>ENV_ACT~CH4C</t>
  </si>
  <si>
    <t>CAPUNIT</t>
  </si>
  <si>
    <t>IEA range</t>
  </si>
  <si>
    <t>Today</t>
  </si>
  <si>
    <t>Long term</t>
  </si>
  <si>
    <t>Efficiency (LHV)</t>
  </si>
  <si>
    <t>lower</t>
  </si>
  <si>
    <t>upper</t>
  </si>
  <si>
    <t>Average</t>
  </si>
  <si>
    <t>Capex USD/kWe</t>
  </si>
  <si>
    <t>Capex ZAR/kWe</t>
  </si>
  <si>
    <t>Lifespan (hours)</t>
  </si>
  <si>
    <t>attribute</t>
  </si>
  <si>
    <t>assuming 5% of CAPEX for FOM</t>
  </si>
  <si>
    <t>Table 3 from "IEA The future of Hydrogen 2019"</t>
  </si>
  <si>
    <t>Convert to ZAR 2022</t>
  </si>
  <si>
    <t>Assuming 2019USD</t>
  </si>
  <si>
    <t>Define inputs and outputs</t>
  </si>
  <si>
    <t>ACT_EFF~2020</t>
  </si>
  <si>
    <t>ACT_EFF~2030</t>
  </si>
  <si>
    <t>ACT_EFF~2050</t>
  </si>
  <si>
    <t>efficiency is input based</t>
  </si>
  <si>
    <t>Lifespan (years)</t>
  </si>
  <si>
    <t>average and rowndown to nearest integer</t>
  </si>
  <si>
    <t>Use the average values</t>
  </si>
  <si>
    <t xml:space="preserve">1 2019 USD = </t>
  </si>
  <si>
    <t>2022 ZAR</t>
  </si>
  <si>
    <t>Set operation limits</t>
  </si>
  <si>
    <t>NCAP_AFA~UP</t>
  </si>
  <si>
    <t xml:space="preserve">Just assuming.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</si>
</sst>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1">
    <numFmt numFmtId="43" formatCode="_-* #,##0.00_-;\-* #,##0.00_-;_-* &quot;-&quot;??_-;_-@_-"/>
    <numFmt numFmtId="164" formatCode="0.0"/>
    <numFmt numFmtId="165" formatCode="\Te\x\t"/>
    <numFmt numFmtId="166" formatCode="###0.00;###0.00"/>
    <numFmt numFmtId="167" formatCode="###0.0;###0.0"/>
    <numFmt numFmtId="168" formatCode="###0;###0"/>
    <numFmt numFmtId="169" formatCode="_(* #,##0_);_(* \(#,##0\);_(* &quot;-&quot;??_);_(@_)"/>
    <numFmt numFmtId="170" formatCode="_(* #,##0.00_);_(* \(#,##0.00\);_(* &quot;-&quot;??_);_(@_)"/>
    <numFmt numFmtId="171" formatCode="_-* #,##0_-;\-* #,##0_-;_-* &quot;-&quot;??_-;_-@_-"/>
    <numFmt numFmtId="172" formatCode="0.0%"/>
    <numFmt numFmtId="173" formatCode="0.0000"/>
    <numFmt numFmtId="174" formatCode="0.00000"/>
    <numFmt numFmtId="175" formatCode="0.000"/>
    <numFmt numFmtId="176" formatCode="_(* #,##0.0_);_(* \(#,##0.0\);_(* &quot;-&quot;??_);_(@_)"/>
    <numFmt numFmtId="177" formatCode="0.000000"/>
    <numFmt numFmtId="178" formatCode="[$£-809]#,##0.00;[Red]&quot;-&quot;[$£-809]#,##0.00"/>
    <numFmt numFmtId="179" formatCode="#,##0.000"/>
    <numFmt numFmtId="180" formatCode="#,##0.0000"/>
    <numFmt numFmtId="181" formatCode="_ * #,##0.00_ ;_ * \-#,##0.00_ ;_ * &quot;-&quot;??_ ;_ @_ "/>
    <numFmt numFmtId="182" formatCode="[$£-809]#,##0.000;[Red]&quot;-&quot;[$£-809]#,##0.000"/>
    <numFmt numFmtId="183" formatCode="_-* #,##0.0_-;\-* #,##0.0_-;_-* &quot;-&quot;??_-;_-@_-"/>
  </numFmts>
  <fonts count="87" x14ac:knownFonts="1">
    <font>
      <sz val="11"/>
      <color theme="1"/>
      <name val="Calibri"/>
      <family val="2"/>
      <scheme val="minor"/>
    </font>
    <font>
      <sz val="11"/>
      <color theme="1"/>
      <name val="Calibri"/>
      <family val="2"/>
      <scheme val="minor"/>
    </font>
    <font>
      <sz val="11"/>
      <color theme="0"/>
      <name val="Calibri"/>
      <family val="2"/>
      <scheme val="minor"/>
    </font>
    <font>
      <sz val="12"/>
      <color theme="1"/>
      <name val="Calibri"/>
      <family val="2"/>
      <scheme val="minor"/>
    </font>
    <font>
      <sz val="11"/>
      <name val="Calibri"/>
      <family val="2"/>
      <scheme val="minor"/>
    </font>
    <font>
      <b/>
      <sz val="11"/>
      <name val="Calibri"/>
      <family val="2"/>
      <scheme val="minor"/>
    </font>
    <font>
      <u/>
      <sz val="11"/>
      <color theme="10"/>
      <name val="Calibri"/>
      <family val="2"/>
      <scheme val="minor"/>
    </font>
    <font>
      <i/>
      <sz val="10"/>
      <name val="Calibri"/>
      <family val="2"/>
      <scheme val="minor"/>
    </font>
    <font>
      <b/>
      <sz val="10"/>
      <name val="Calibri"/>
      <family val="2"/>
      <scheme val="minor"/>
    </font>
    <font>
      <b/>
      <sz val="18"/>
      <color theme="0"/>
      <name val="Calibri"/>
      <family val="2"/>
      <scheme val="minor"/>
    </font>
    <font>
      <sz val="10"/>
      <name val="Calibri"/>
      <family val="2"/>
      <scheme val="minor"/>
    </font>
    <font>
      <sz val="10"/>
      <name val="Arial"/>
      <family val="2"/>
    </font>
    <font>
      <b/>
      <sz val="15"/>
      <color theme="3"/>
      <name val="Calibri"/>
      <family val="2"/>
      <scheme val="minor"/>
    </font>
    <font>
      <sz val="11"/>
      <color rgb="FF9C0006"/>
      <name val="Calibri"/>
      <family val="2"/>
      <scheme val="minor"/>
    </font>
    <font>
      <sz val="11"/>
      <color rgb="FFFF0000"/>
      <name val="Calibri"/>
      <family val="2"/>
      <scheme val="minor"/>
    </font>
    <font>
      <b/>
      <sz val="11"/>
      <color theme="1"/>
      <name val="Calibri"/>
      <family val="2"/>
      <scheme val="minor"/>
    </font>
    <font>
      <sz val="10"/>
      <color rgb="FF000000"/>
      <name val="Times New Roman"/>
      <family val="1"/>
    </font>
    <font>
      <u/>
      <sz val="10"/>
      <color indexed="12"/>
      <name val="Arial"/>
      <family val="2"/>
    </font>
    <font>
      <sz val="11"/>
      <color theme="9" tint="-0.249977111117893"/>
      <name val="Calibri"/>
      <family val="2"/>
      <scheme val="minor"/>
    </font>
    <font>
      <sz val="16"/>
      <color theme="1"/>
      <name val="Calibri"/>
      <family val="2"/>
      <scheme val="minor"/>
    </font>
    <font>
      <b/>
      <sz val="9"/>
      <color indexed="81"/>
      <name val="Tahoma"/>
      <family val="2"/>
    </font>
    <font>
      <sz val="9"/>
      <color indexed="81"/>
      <name val="Tahoma"/>
      <family val="2"/>
    </font>
    <font>
      <sz val="11"/>
      <color theme="3"/>
      <name val="Calibri"/>
      <family val="2"/>
      <scheme val="minor"/>
    </font>
    <font>
      <sz val="11"/>
      <color rgb="FF000000"/>
      <name val="Calibri"/>
      <family val="2"/>
    </font>
    <font>
      <b/>
      <sz val="11"/>
      <name val="Calibri"/>
      <family val="2"/>
    </font>
    <font>
      <b/>
      <sz val="7"/>
      <name val="Calibri"/>
      <family val="2"/>
    </font>
    <font>
      <b/>
      <sz val="9"/>
      <color indexed="49"/>
      <name val="Calibri"/>
      <family val="2"/>
    </font>
    <font>
      <b/>
      <sz val="6"/>
      <color indexed="49"/>
      <name val="Calibri"/>
      <family val="2"/>
    </font>
    <font>
      <b/>
      <sz val="11"/>
      <color rgb="FF000000"/>
      <name val="Calibri"/>
      <family val="2"/>
    </font>
    <font>
      <sz val="10"/>
      <color theme="1"/>
      <name val="Times New Roman"/>
      <family val="1"/>
    </font>
    <font>
      <b/>
      <sz val="11"/>
      <color indexed="8"/>
      <name val="Cambria"/>
      <family val="1"/>
    </font>
    <font>
      <sz val="11"/>
      <name val="Calibri"/>
      <family val="2"/>
    </font>
    <font>
      <b/>
      <sz val="12"/>
      <color rgb="FF000000"/>
      <name val="Times New Roman"/>
      <family val="1"/>
    </font>
    <font>
      <sz val="10"/>
      <color rgb="FF000000"/>
      <name val="Calibri Light"/>
      <family val="1"/>
      <scheme val="major"/>
    </font>
    <font>
      <sz val="10"/>
      <name val="Cambria"/>
      <family val="1"/>
    </font>
    <font>
      <b/>
      <sz val="10"/>
      <name val="Cambria"/>
      <family val="1"/>
    </font>
    <font>
      <b/>
      <sz val="10"/>
      <color indexed="49"/>
      <name val="Cambria"/>
      <family val="1"/>
    </font>
    <font>
      <b/>
      <u/>
      <sz val="14"/>
      <color theme="1"/>
      <name val="Calibri"/>
      <family val="2"/>
      <scheme val="minor"/>
    </font>
    <font>
      <b/>
      <i/>
      <u/>
      <sz val="11"/>
      <color theme="1"/>
      <name val="Calibri"/>
      <family val="2"/>
      <scheme val="minor"/>
    </font>
    <font>
      <sz val="10"/>
      <name val="Calibri Light"/>
      <family val="1"/>
      <scheme val="major"/>
    </font>
    <font>
      <b/>
      <sz val="10"/>
      <color rgb="FF000000"/>
      <name val="Calibri Light"/>
      <family val="1"/>
      <scheme val="major"/>
    </font>
    <font>
      <b/>
      <sz val="10"/>
      <name val="Calibri Light"/>
      <family val="1"/>
      <scheme val="major"/>
    </font>
    <font>
      <i/>
      <sz val="11"/>
      <color theme="1"/>
      <name val="Calibri"/>
      <family val="2"/>
      <scheme val="minor"/>
    </font>
    <font>
      <b/>
      <u/>
      <sz val="11"/>
      <color theme="1"/>
      <name val="Calibri"/>
      <family val="2"/>
      <scheme val="minor"/>
    </font>
    <font>
      <b/>
      <i/>
      <sz val="11"/>
      <color theme="1"/>
      <name val="Calibri"/>
      <family val="2"/>
      <scheme val="minor"/>
    </font>
    <font>
      <b/>
      <sz val="10"/>
      <color rgb="FF4F81BC"/>
      <name val="Calibri"/>
      <family val="2"/>
    </font>
    <font>
      <b/>
      <sz val="9"/>
      <color rgb="FF4F81BC"/>
      <name val="Calibri"/>
      <family val="2"/>
    </font>
    <font>
      <b/>
      <sz val="14"/>
      <color theme="1"/>
      <name val="Calibri"/>
      <family val="2"/>
      <scheme val="minor"/>
    </font>
    <font>
      <b/>
      <sz val="11"/>
      <color indexed="8"/>
      <name val="Calibri"/>
      <family val="2"/>
    </font>
    <font>
      <sz val="8"/>
      <color rgb="FF800080"/>
      <name val="Arial"/>
      <family val="2"/>
    </font>
    <font>
      <sz val="10"/>
      <color theme="3"/>
      <name val="Arial"/>
      <family val="2"/>
    </font>
    <font>
      <sz val="9"/>
      <name val="Calibri"/>
      <family val="2"/>
    </font>
    <font>
      <sz val="9"/>
      <color rgb="FF000000"/>
      <name val="Calibri"/>
      <family val="2"/>
    </font>
    <font>
      <sz val="9"/>
      <color theme="1"/>
      <name val="Calibri"/>
      <family val="2"/>
      <scheme val="minor"/>
    </font>
    <font>
      <vertAlign val="subscript"/>
      <sz val="9"/>
      <name val="Calibri"/>
      <family val="2"/>
    </font>
    <font>
      <b/>
      <sz val="11"/>
      <color rgb="FFFFFFFF"/>
      <name val="Calibri"/>
      <family val="2"/>
    </font>
    <font>
      <vertAlign val="superscript"/>
      <sz val="11"/>
      <color theme="1"/>
      <name val="Calibri"/>
      <family val="2"/>
      <scheme val="minor"/>
    </font>
    <font>
      <sz val="10"/>
      <color rgb="FFFF0000"/>
      <name val="Arial"/>
      <family val="2"/>
    </font>
    <font>
      <sz val="10"/>
      <color indexed="12"/>
      <name val="Arial"/>
      <family val="2"/>
    </font>
    <font>
      <b/>
      <sz val="10"/>
      <name val="Arial"/>
      <family val="2"/>
    </font>
    <font>
      <sz val="10"/>
      <color theme="6" tint="-0.24994659260841701"/>
      <name val="Arial"/>
      <family val="2"/>
      <charset val="238"/>
    </font>
    <font>
      <b/>
      <sz val="12"/>
      <name val="Arial"/>
      <family val="2"/>
    </font>
    <font>
      <sz val="8"/>
      <name val="Arial"/>
      <family val="2"/>
    </font>
    <font>
      <b/>
      <sz val="11"/>
      <color theme="3"/>
      <name val="Calibri"/>
      <family val="2"/>
      <scheme val="minor"/>
    </font>
    <font>
      <sz val="11"/>
      <color rgb="FF3F3F76"/>
      <name val="Calibri"/>
      <family val="2"/>
      <scheme val="minor"/>
    </font>
    <font>
      <b/>
      <sz val="11"/>
      <color rgb="FFFA7D00"/>
      <name val="Calibri"/>
      <family val="2"/>
      <scheme val="minor"/>
    </font>
    <font>
      <sz val="9"/>
      <name val="Times New Roman"/>
      <family val="1"/>
    </font>
    <font>
      <sz val="9"/>
      <color indexed="63"/>
      <name val="Times New Roman"/>
      <family val="1"/>
    </font>
    <font>
      <b/>
      <sz val="13"/>
      <color indexed="56"/>
      <name val="Calibri"/>
      <family val="2"/>
      <scheme val="minor"/>
    </font>
    <font>
      <sz val="10"/>
      <name val="Verdana"/>
      <family val="2"/>
    </font>
    <font>
      <sz val="10"/>
      <color theme="1"/>
      <name val="Arial"/>
      <family val="2"/>
    </font>
    <font>
      <b/>
      <sz val="12"/>
      <color theme="0"/>
      <name val="Calibri"/>
      <family val="2"/>
      <scheme val="minor"/>
    </font>
    <font>
      <i/>
      <sz val="12"/>
      <color rgb="FF7F7F7F"/>
      <name val="Calibri"/>
      <family val="2"/>
      <scheme val="minor"/>
    </font>
    <font>
      <sz val="12"/>
      <color theme="0"/>
      <name val="Calibri"/>
      <family val="2"/>
      <scheme val="minor"/>
    </font>
    <font>
      <sz val="12"/>
      <color theme="1"/>
      <name val="Arial"/>
      <family val="2"/>
    </font>
    <font>
      <u/>
      <sz val="12"/>
      <color theme="10"/>
      <name val="Calibri"/>
      <family val="2"/>
      <scheme val="minor"/>
    </font>
    <font>
      <b/>
      <sz val="10"/>
      <color indexed="12"/>
      <name val="Arial"/>
      <family val="2"/>
    </font>
    <font>
      <sz val="11"/>
      <color theme="1"/>
      <name val="Arial"/>
      <family val="2"/>
    </font>
    <font>
      <u/>
      <sz val="10"/>
      <color theme="10"/>
      <name val="Arial"/>
      <family val="2"/>
    </font>
    <font>
      <sz val="11"/>
      <color indexed="8"/>
      <name val="Calibri"/>
      <family val="2"/>
    </font>
    <font>
      <sz val="10"/>
      <name val="Courier"/>
      <family val="3"/>
    </font>
    <font>
      <sz val="11"/>
      <color rgb="FF9C6500"/>
      <name val="Calibri"/>
      <family val="2"/>
      <scheme val="minor"/>
    </font>
    <font>
      <u/>
      <sz val="12"/>
      <color theme="10"/>
      <name val="Arial"/>
      <family val="2"/>
    </font>
    <font>
      <sz val="10"/>
      <color theme="6" tint="-0.24994659260841701"/>
      <name val="Arial"/>
      <family val="2"/>
    </font>
    <font>
      <sz val="10"/>
      <color theme="9" tint="-0.24994659260841701"/>
      <name val="Arial"/>
      <family val="2"/>
    </font>
    <font>
      <b/>
      <sz val="11"/>
      <color rgb="FF3F3F3F"/>
      <name val="Calibri"/>
      <family val="2"/>
      <scheme val="minor"/>
    </font>
    <font>
      <b/>
      <sz val="11"/>
      <color rgb="FFFF0000"/>
      <name val="Calibri"/>
      <family val="2"/>
      <scheme val="minor"/>
    </font>
  </fonts>
  <fills count="38">
    <fill>
      <patternFill patternType="none"/>
    </fill>
    <fill>
      <patternFill patternType="gray125"/>
    </fill>
    <fill>
      <patternFill patternType="solid">
        <fgColor theme="4"/>
      </patternFill>
    </fill>
    <fill>
      <patternFill patternType="solid">
        <fgColor theme="0"/>
        <bgColor indexed="64"/>
      </patternFill>
    </fill>
    <fill>
      <patternFill patternType="solid">
        <fgColor rgb="FFFFFFCC"/>
        <bgColor indexed="64"/>
      </patternFill>
    </fill>
    <fill>
      <patternFill patternType="solid">
        <fgColor indexed="43"/>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indexed="42"/>
        <bgColor indexed="64"/>
      </patternFill>
    </fill>
    <fill>
      <patternFill patternType="solid">
        <fgColor rgb="FFFFFFFF"/>
      </patternFill>
    </fill>
    <fill>
      <patternFill patternType="solid">
        <fgColor rgb="FFFFC00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3"/>
        <bgColor indexed="64"/>
      </patternFill>
    </fill>
    <fill>
      <patternFill patternType="solid">
        <fgColor rgb="FF66FF66"/>
        <bgColor indexed="64"/>
      </patternFill>
    </fill>
    <fill>
      <patternFill patternType="solid">
        <fgColor theme="6" tint="0.59999389629810485"/>
        <bgColor indexed="64"/>
      </patternFill>
    </fill>
    <fill>
      <patternFill patternType="solid">
        <fgColor rgb="FF66FF33"/>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rgb="FFE7E7E7"/>
      </patternFill>
    </fill>
    <fill>
      <patternFill patternType="solid">
        <fgColor rgb="FF4F81BC"/>
      </patternFill>
    </fill>
    <fill>
      <patternFill patternType="solid">
        <fgColor rgb="FFFFC7CE"/>
        <bgColor indexed="64"/>
      </patternFill>
    </fill>
    <fill>
      <patternFill patternType="solid">
        <fgColor rgb="FFFFC7CE"/>
      </patternFill>
    </fill>
    <fill>
      <patternFill patternType="solid">
        <fgColor rgb="FFFFCC99"/>
      </patternFill>
    </fill>
    <fill>
      <patternFill patternType="solid">
        <fgColor rgb="FFF2F2F2"/>
      </patternFill>
    </fill>
    <fill>
      <patternFill patternType="solid">
        <fgColor theme="0" tint="-0.249977111117893"/>
        <bgColor indexed="64"/>
      </patternFill>
    </fill>
    <fill>
      <patternFill patternType="solid">
        <fgColor theme="4" tint="0.39997558519241921"/>
        <bgColor indexed="64"/>
      </patternFill>
    </fill>
    <fill>
      <patternFill patternType="solid">
        <fgColor rgb="FFFFEB9C"/>
      </patternFill>
    </fill>
    <fill>
      <patternFill patternType="solid">
        <fgColor rgb="FFA5A5A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8" tint="0.79998168889431442"/>
        <bgColor indexed="65"/>
      </patternFill>
    </fill>
    <fill>
      <patternFill patternType="solid">
        <fgColor rgb="FFCC6600"/>
        <bgColor indexed="64"/>
      </patternFill>
    </fill>
  </fills>
  <borders count="35">
    <border>
      <left/>
      <right/>
      <top/>
      <bottom/>
      <diagonal/>
    </border>
    <border>
      <left/>
      <right/>
      <top style="thin">
        <color auto="1"/>
      </top>
      <bottom style="thin">
        <color auto="1"/>
      </bottom>
      <diagonal/>
    </border>
    <border>
      <left/>
      <right/>
      <top/>
      <bottom style="medium">
        <color indexed="64"/>
      </bottom>
      <diagonal/>
    </border>
    <border>
      <left/>
      <right/>
      <top style="thin">
        <color indexed="64"/>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top/>
      <bottom style="thin">
        <color rgb="FF000000"/>
      </bottom>
      <diagonal/>
    </border>
    <border>
      <left/>
      <right/>
      <top style="thin">
        <color rgb="FF000000"/>
      </top>
      <bottom/>
      <diagonal/>
    </border>
    <border>
      <left/>
      <right/>
      <top style="thin">
        <color rgb="FF000000"/>
      </top>
      <bottom style="thin">
        <color rgb="FF000000"/>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style="medium">
        <color indexed="64"/>
      </bottom>
      <diagonal/>
    </border>
    <border>
      <left style="thin">
        <color indexed="62"/>
      </left>
      <right style="thin">
        <color indexed="62"/>
      </right>
      <top style="thin">
        <color indexed="62"/>
      </top>
      <bottom style="thin">
        <color indexed="62"/>
      </bottom>
      <diagonal/>
    </border>
    <border>
      <left style="thin">
        <color indexed="62"/>
      </left>
      <right style="thin">
        <color indexed="62"/>
      </right>
      <top style="thin">
        <color indexed="62"/>
      </top>
      <bottom style="thin">
        <color indexed="62"/>
      </bottom>
      <diagonal/>
    </border>
    <border>
      <left/>
      <right/>
      <top style="thin">
        <color indexed="64"/>
      </top>
      <bottom/>
      <diagonal/>
    </border>
    <border>
      <left style="double">
        <color rgb="FF3F3F3F"/>
      </left>
      <right style="double">
        <color rgb="FF3F3F3F"/>
      </right>
      <top style="double">
        <color rgb="FF3F3F3F"/>
      </top>
      <bottom style="double">
        <color rgb="FF3F3F3F"/>
      </bottom>
      <diagonal/>
    </border>
    <border>
      <left style="thin">
        <color indexed="64"/>
      </left>
      <right/>
      <top style="thin">
        <color indexed="64"/>
      </top>
      <bottom/>
      <diagonal/>
    </border>
    <border>
      <left/>
      <right style="thin">
        <color indexed="64"/>
      </right>
      <top style="thin">
        <color indexed="64"/>
      </top>
      <bottom/>
      <diagonal/>
    </border>
    <border>
      <left style="thin">
        <color rgb="FF3F3F3F"/>
      </left>
      <right style="thin">
        <color rgb="FF3F3F3F"/>
      </right>
      <top style="thin">
        <color rgb="FF3F3F3F"/>
      </top>
      <bottom style="thin">
        <color rgb="FF3F3F3F"/>
      </bottom>
      <diagonal/>
    </border>
  </borders>
  <cellStyleXfs count="217">
    <xf numFmtId="0" fontId="0" fillId="0" borderId="0"/>
    <xf numFmtId="0" fontId="2" fillId="2" borderId="0" applyNumberFormat="0" applyBorder="0" applyAlignment="0" applyProtection="0"/>
    <xf numFmtId="0" fontId="11" fillId="0" borderId="0"/>
    <xf numFmtId="0" fontId="12" fillId="0" borderId="4" applyNumberFormat="0" applyFill="0" applyAlignment="0" applyProtection="0"/>
    <xf numFmtId="0" fontId="16" fillId="0" borderId="0"/>
    <xf numFmtId="170" fontId="1" fillId="0" borderId="0" applyFont="0" applyFill="0" applyBorder="0" applyAlignment="0" applyProtection="0"/>
    <xf numFmtId="43" fontId="1" fillId="0" borderId="0" applyFont="0" applyFill="0" applyBorder="0" applyAlignment="0" applyProtection="0"/>
    <xf numFmtId="0" fontId="17" fillId="0" borderId="0" applyNumberFormat="0" applyFill="0" applyBorder="0" applyAlignment="0" applyProtection="0">
      <alignment vertical="top"/>
      <protection locked="0"/>
    </xf>
    <xf numFmtId="9" fontId="1" fillId="0" borderId="0" applyFont="0" applyFill="0" applyBorder="0" applyAlignment="0" applyProtection="0"/>
    <xf numFmtId="9" fontId="11" fillId="0" borderId="0" applyFont="0" applyFill="0" applyBorder="0" applyAlignment="0" applyProtection="0"/>
    <xf numFmtId="178" fontId="13" fillId="25" borderId="0" applyNumberFormat="0" applyBorder="0" applyAlignment="0" applyProtection="0"/>
    <xf numFmtId="4" fontId="60" fillId="0" borderId="0" applyNumberFormat="0" applyFill="0" applyBorder="0" applyAlignment="0" applyProtection="0">
      <alignment horizontal="center"/>
    </xf>
    <xf numFmtId="0" fontId="11" fillId="0" borderId="0"/>
    <xf numFmtId="0" fontId="63" fillId="0" borderId="0" applyNumberFormat="0" applyFill="0" applyBorder="0" applyAlignment="0" applyProtection="0"/>
    <xf numFmtId="0" fontId="13" fillId="26" borderId="0" applyNumberFormat="0" applyBorder="0" applyAlignment="0" applyProtection="0"/>
    <xf numFmtId="0" fontId="64" fillId="27" borderId="26" applyNumberFormat="0" applyAlignment="0" applyProtection="0"/>
    <xf numFmtId="0" fontId="65" fillId="28" borderId="26" applyNumberFormat="0" applyAlignment="0" applyProtection="0"/>
    <xf numFmtId="0" fontId="11" fillId="0" borderId="0"/>
    <xf numFmtId="0" fontId="11" fillId="0" borderId="0"/>
    <xf numFmtId="0" fontId="1" fillId="0" borderId="0"/>
    <xf numFmtId="0" fontId="68" fillId="0" borderId="25" applyNumberFormat="0" applyFill="0" applyAlignment="0" applyProtection="0"/>
    <xf numFmtId="43" fontId="1" fillId="0" borderId="0" applyFont="0" applyFill="0" applyBorder="0" applyAlignment="0" applyProtection="0"/>
    <xf numFmtId="9" fontId="1" fillId="0" borderId="0" applyFont="0" applyFill="0" applyBorder="0" applyAlignment="0" applyProtection="0"/>
    <xf numFmtId="181" fontId="1" fillId="0" borderId="0" applyFont="0" applyFill="0" applyBorder="0" applyAlignment="0" applyProtection="0"/>
    <xf numFmtId="0" fontId="70" fillId="0" borderId="0"/>
    <xf numFmtId="0" fontId="3" fillId="0" borderId="0"/>
    <xf numFmtId="0" fontId="72" fillId="0" borderId="0" applyNumberFormat="0" applyFill="0" applyBorder="0" applyAlignment="0" applyProtection="0"/>
    <xf numFmtId="0" fontId="71" fillId="32" borderId="31" applyNumberFormat="0" applyAlignment="0" applyProtection="0"/>
    <xf numFmtId="9" fontId="3" fillId="0" borderId="0" applyFont="0" applyFill="0" applyBorder="0" applyAlignment="0" applyProtection="0"/>
    <xf numFmtId="0" fontId="73" fillId="2" borderId="0" applyNumberFormat="0" applyBorder="0" applyAlignment="0" applyProtection="0"/>
    <xf numFmtId="0" fontId="3" fillId="33" borderId="0" applyNumberFormat="0" applyBorder="0" applyAlignment="0" applyProtection="0"/>
    <xf numFmtId="0" fontId="73" fillId="34" borderId="0" applyNumberFormat="0" applyBorder="0" applyAlignment="0" applyProtection="0"/>
    <xf numFmtId="0" fontId="70" fillId="0" borderId="0"/>
    <xf numFmtId="0" fontId="1" fillId="0" borderId="0"/>
    <xf numFmtId="9" fontId="70" fillId="0" borderId="0" applyFont="0" applyFill="0" applyBorder="0" applyAlignment="0" applyProtection="0"/>
    <xf numFmtId="0" fontId="2" fillId="37" borderId="0" applyAlignment="0" applyProtection="0"/>
    <xf numFmtId="0" fontId="75" fillId="0" borderId="0" applyNumberFormat="0" applyFill="0" applyBorder="0" applyAlignment="0" applyProtection="0"/>
    <xf numFmtId="43" fontId="1" fillId="0" borderId="0" applyFont="0" applyFill="0" applyBorder="0" applyAlignment="0" applyProtection="0"/>
    <xf numFmtId="181" fontId="1" fillId="0" borderId="0" applyFont="0" applyFill="0" applyBorder="0" applyAlignment="0" applyProtection="0"/>
    <xf numFmtId="0" fontId="11" fillId="0" borderId="0"/>
    <xf numFmtId="0" fontId="69" fillId="0" borderId="0"/>
    <xf numFmtId="0" fontId="1" fillId="0" borderId="0"/>
    <xf numFmtId="0" fontId="1" fillId="0" borderId="0"/>
    <xf numFmtId="43" fontId="69" fillId="0" borderId="0" applyFont="0" applyFill="0" applyBorder="0" applyAlignment="0" applyProtection="0"/>
    <xf numFmtId="9" fontId="69" fillId="0" borderId="0" applyFont="0" applyFill="0" applyBorder="0" applyAlignment="0" applyProtection="0"/>
    <xf numFmtId="0" fontId="11" fillId="0" borderId="0"/>
    <xf numFmtId="0" fontId="11" fillId="0" borderId="0"/>
    <xf numFmtId="0" fontId="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9" fontId="11" fillId="0" borderId="0" applyFont="0" applyFill="0" applyBorder="0" applyAlignment="0" applyProtection="0"/>
    <xf numFmtId="0" fontId="11" fillId="0" borderId="0"/>
    <xf numFmtId="0" fontId="1" fillId="0" borderId="0"/>
    <xf numFmtId="0" fontId="17" fillId="0" borderId="0" applyNumberFormat="0" applyFill="0" applyBorder="0" applyAlignment="0" applyProtection="0">
      <alignment vertical="top"/>
      <protection locked="0"/>
    </xf>
    <xf numFmtId="0" fontId="1" fillId="0" borderId="0"/>
    <xf numFmtId="9" fontId="1" fillId="0" borderId="0" applyFont="0" applyFill="0" applyBorder="0" applyAlignment="0" applyProtection="0"/>
    <xf numFmtId="0" fontId="77" fillId="0" borderId="0"/>
    <xf numFmtId="43" fontId="77" fillId="0" borderId="0" applyFont="0" applyFill="0" applyBorder="0" applyAlignment="0" applyProtection="0"/>
    <xf numFmtId="43" fontId="1" fillId="0" borderId="0" applyFont="0" applyFill="0" applyBorder="0" applyAlignment="0" applyProtection="0"/>
    <xf numFmtId="9" fontId="77" fillId="0" borderId="0" applyFont="0" applyFill="0" applyBorder="0" applyAlignment="0" applyProtection="0"/>
    <xf numFmtId="0" fontId="78" fillId="0" borderId="0" applyNumberFormat="0" applyFill="0" applyBorder="0" applyAlignment="0" applyProtection="0"/>
    <xf numFmtId="182" fontId="11" fillId="0" borderId="0"/>
    <xf numFmtId="0" fontId="3" fillId="0" borderId="0"/>
    <xf numFmtId="0" fontId="16" fillId="0" borderId="0"/>
    <xf numFmtId="0" fontId="1" fillId="0" borderId="0"/>
    <xf numFmtId="0" fontId="74" fillId="0" borderId="0"/>
    <xf numFmtId="0" fontId="1" fillId="0" borderId="0"/>
    <xf numFmtId="9" fontId="1" fillId="0" borderId="0" applyFont="0" applyFill="0" applyBorder="0" applyAlignment="0" applyProtection="0"/>
    <xf numFmtId="0" fontId="1" fillId="0" borderId="0"/>
    <xf numFmtId="43" fontId="79" fillId="0" borderId="0" applyFont="0" applyFill="0" applyBorder="0" applyAlignment="0" applyProtection="0"/>
    <xf numFmtId="0" fontId="6"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65" fillId="28" borderId="26" applyNumberFormat="0" applyAlignment="0" applyProtection="0"/>
    <xf numFmtId="0" fontId="64" fillId="27" borderId="26" applyNumberFormat="0" applyAlignment="0" applyProtection="0"/>
    <xf numFmtId="0" fontId="17" fillId="0" borderId="0" applyNumberFormat="0" applyFill="0" applyBorder="0" applyAlignment="0" applyProtection="0">
      <alignment vertical="top"/>
      <protection locked="0"/>
    </xf>
    <xf numFmtId="9" fontId="11" fillId="0" borderId="0" applyFont="0" applyFill="0" applyBorder="0" applyAlignment="0" applyProtection="0"/>
    <xf numFmtId="43" fontId="1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36" borderId="0" applyNumberFormat="0" applyBorder="0" applyAlignment="0" applyProtection="0"/>
    <xf numFmtId="0" fontId="2" fillId="35" borderId="0" applyNumberFormat="0" applyBorder="0" applyAlignment="0" applyProtection="0"/>
    <xf numFmtId="43" fontId="1" fillId="0" borderId="0" applyFont="0" applyFill="0" applyBorder="0" applyAlignment="0" applyProtection="0"/>
    <xf numFmtId="0" fontId="81" fillId="31" borderId="0" applyNumberFormat="0" applyBorder="0" applyAlignment="0" applyProtection="0"/>
    <xf numFmtId="0" fontId="11" fillId="0" borderId="0"/>
    <xf numFmtId="0" fontId="11" fillId="0" borderId="0"/>
    <xf numFmtId="0" fontId="1" fillId="0" borderId="0"/>
    <xf numFmtId="0" fontId="11" fillId="0" borderId="0"/>
    <xf numFmtId="0" fontId="80" fillId="0" borderId="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11" fillId="0" borderId="0"/>
    <xf numFmtId="43" fontId="11" fillId="0" borderId="0" applyFont="0" applyFill="0" applyBorder="0" applyAlignment="0" applyProtection="0"/>
    <xf numFmtId="43" fontId="77"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69" fillId="0" borderId="0"/>
    <xf numFmtId="43" fontId="6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7" fillId="0" borderId="0" applyFont="0" applyFill="0" applyBorder="0" applyAlignment="0" applyProtection="0"/>
    <xf numFmtId="43" fontId="1" fillId="0" borderId="0" applyFont="0" applyFill="0" applyBorder="0" applyAlignment="0" applyProtection="0"/>
    <xf numFmtId="43" fontId="7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xf numFmtId="43" fontId="77"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xf numFmtId="43" fontId="1" fillId="0" borderId="0" applyFont="0" applyFill="0" applyBorder="0" applyAlignment="0" applyProtection="0"/>
    <xf numFmtId="0" fontId="69" fillId="0" borderId="0"/>
    <xf numFmtId="9" fontId="69" fillId="0" borderId="0" applyFont="0" applyFill="0" applyBorder="0" applyAlignment="0" applyProtection="0"/>
    <xf numFmtId="0" fontId="1" fillId="0" borderId="0"/>
    <xf numFmtId="9" fontId="1" fillId="0" borderId="0" applyFont="0" applyFill="0" applyBorder="0" applyAlignment="0" applyProtection="0"/>
    <xf numFmtId="43" fontId="3" fillId="0" borderId="0" applyFont="0" applyFill="0" applyBorder="0" applyAlignment="0" applyProtection="0"/>
    <xf numFmtId="0" fontId="1" fillId="0" borderId="0"/>
    <xf numFmtId="0" fontId="3" fillId="0" borderId="0"/>
    <xf numFmtId="0" fontId="75" fillId="0" borderId="0" applyNumberFormat="0" applyFill="0" applyBorder="0" applyAlignment="0" applyProtection="0"/>
    <xf numFmtId="9" fontId="3"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43" fontId="3"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74" fillId="0" borderId="0"/>
    <xf numFmtId="0" fontId="82" fillId="0" borderId="0" applyNumberFormat="0" applyFill="0" applyBorder="0" applyAlignment="0" applyProtection="0"/>
    <xf numFmtId="4" fontId="83" fillId="0" borderId="0" applyNumberFormat="0" applyFill="0" applyBorder="0" applyAlignment="0" applyProtection="0">
      <alignment horizontal="center"/>
    </xf>
    <xf numFmtId="43" fontId="11" fillId="0" borderId="0" applyFont="0" applyFill="0" applyBorder="0" applyAlignment="0" applyProtection="0"/>
    <xf numFmtId="0" fontId="84" fillId="0" borderId="0" applyNumberForma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7" fillId="0" borderId="0" applyFont="0" applyFill="0" applyBorder="0" applyAlignment="0" applyProtection="0"/>
    <xf numFmtId="43" fontId="1" fillId="0" borderId="0" applyFont="0" applyFill="0" applyBorder="0" applyAlignment="0" applyProtection="0"/>
    <xf numFmtId="0" fontId="78" fillId="0" borderId="0" applyNumberFormat="0" applyFill="0" applyBorder="0" applyAlignment="0" applyProtection="0"/>
    <xf numFmtId="0" fontId="3" fillId="0" borderId="0"/>
    <xf numFmtId="0" fontId="1" fillId="0" borderId="0"/>
    <xf numFmtId="43" fontId="7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9" fontId="11" fillId="0" borderId="0" applyFont="0" applyFill="0" applyBorder="0" applyAlignment="0" applyProtection="0"/>
    <xf numFmtId="43" fontId="1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0" borderId="0"/>
    <xf numFmtId="0" fontId="1" fillId="0" borderId="0"/>
    <xf numFmtId="9" fontId="11" fillId="0" borderId="0" applyFont="0" applyFill="0" applyBorder="0" applyAlignment="0" applyProtection="0"/>
    <xf numFmtId="9" fontId="11" fillId="0" borderId="0" applyFont="0" applyFill="0" applyBorder="0" applyAlignment="0" applyProtection="0"/>
    <xf numFmtId="0" fontId="3" fillId="0" borderId="0"/>
    <xf numFmtId="0" fontId="85" fillId="28" borderId="34" applyNumberFormat="0" applyAlignment="0" applyProtection="0"/>
    <xf numFmtId="43" fontId="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7" fillId="0" borderId="0" applyFont="0" applyFill="0" applyBorder="0" applyAlignment="0" applyProtection="0"/>
    <xf numFmtId="43" fontId="1" fillId="0" borderId="0" applyFont="0" applyFill="0" applyBorder="0" applyAlignment="0" applyProtection="0"/>
    <xf numFmtId="43" fontId="7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xf numFmtId="43" fontId="77"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7" fillId="0" borderId="0" applyFont="0" applyFill="0" applyBorder="0" applyAlignment="0" applyProtection="0"/>
    <xf numFmtId="43" fontId="1" fillId="0" borderId="0" applyFont="0" applyFill="0" applyBorder="0" applyAlignment="0" applyProtection="0"/>
    <xf numFmtId="43" fontId="7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xf numFmtId="43" fontId="77"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7" fillId="0" borderId="0" applyFont="0" applyFill="0" applyBorder="0" applyAlignment="0" applyProtection="0"/>
    <xf numFmtId="43" fontId="1" fillId="0" borderId="0" applyFont="0" applyFill="0" applyBorder="0" applyAlignment="0" applyProtection="0"/>
    <xf numFmtId="43" fontId="7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319">
    <xf numFmtId="0" fontId="0" fillId="0" borderId="0" xfId="0"/>
    <xf numFmtId="0" fontId="4" fillId="0" borderId="0" xfId="0" applyFont="1"/>
    <xf numFmtId="164" fontId="4" fillId="0" borderId="0" xfId="0" applyNumberFormat="1" applyFont="1"/>
    <xf numFmtId="0" fontId="5" fillId="4" borderId="1" xfId="0" applyFont="1" applyFill="1" applyBorder="1" applyAlignment="1">
      <alignment vertical="center"/>
    </xf>
    <xf numFmtId="0" fontId="0" fillId="0" borderId="0" xfId="0" applyAlignment="1">
      <alignment vertical="center"/>
    </xf>
    <xf numFmtId="165" fontId="0" fillId="0" borderId="0" xfId="0" applyNumberFormat="1" applyAlignment="1">
      <alignment vertical="center"/>
    </xf>
    <xf numFmtId="165" fontId="2" fillId="2" borderId="0" xfId="1" applyNumberFormat="1" applyAlignment="1">
      <alignment vertical="center"/>
    </xf>
    <xf numFmtId="0" fontId="2" fillId="6" borderId="0" xfId="0" applyFont="1" applyFill="1"/>
    <xf numFmtId="0" fontId="9" fillId="6" borderId="0" xfId="0" applyFont="1" applyFill="1" applyAlignment="1">
      <alignment vertical="center"/>
    </xf>
    <xf numFmtId="0" fontId="5" fillId="7" borderId="0" xfId="0" applyFont="1" applyFill="1"/>
    <xf numFmtId="0" fontId="7" fillId="8" borderId="1" xfId="0" applyFont="1" applyFill="1" applyBorder="1" applyAlignment="1">
      <alignment horizontal="left" vertical="center" wrapText="1"/>
    </xf>
    <xf numFmtId="0" fontId="10" fillId="9" borderId="2" xfId="0" applyFont="1" applyFill="1" applyBorder="1" applyAlignment="1">
      <alignment horizontal="left" vertical="center" wrapText="1"/>
    </xf>
    <xf numFmtId="0" fontId="7" fillId="9" borderId="3" xfId="0" applyFont="1" applyFill="1" applyBorder="1" applyAlignment="1">
      <alignment horizontal="left" vertical="center" wrapText="1"/>
    </xf>
    <xf numFmtId="0" fontId="8" fillId="5" borderId="3" xfId="0" applyFont="1" applyFill="1" applyBorder="1" applyAlignment="1">
      <alignment vertical="center" wrapText="1"/>
    </xf>
    <xf numFmtId="2" fontId="4" fillId="0" borderId="0" xfId="0" applyNumberFormat="1" applyFont="1"/>
    <xf numFmtId="0" fontId="8" fillId="5" borderId="3" xfId="0" applyFont="1" applyFill="1" applyBorder="1" applyAlignment="1">
      <alignment vertical="center"/>
    </xf>
    <xf numFmtId="0" fontId="15" fillId="0" borderId="0" xfId="0" applyFont="1"/>
    <xf numFmtId="0" fontId="0" fillId="0" borderId="0" xfId="0" applyAlignment="1">
      <alignment horizontal="left" vertical="top"/>
    </xf>
    <xf numFmtId="0" fontId="0" fillId="10" borderId="5" xfId="0" applyFill="1" applyBorder="1" applyAlignment="1">
      <alignment horizontal="left" vertical="top" wrapText="1"/>
    </xf>
    <xf numFmtId="0" fontId="0" fillId="11" borderId="0" xfId="0" applyFill="1"/>
    <xf numFmtId="0" fontId="0" fillId="0" borderId="6" xfId="0" applyBorder="1"/>
    <xf numFmtId="0" fontId="0" fillId="0" borderId="0" xfId="0" applyAlignment="1">
      <alignment horizontal="left"/>
    </xf>
    <xf numFmtId="173" fontId="0" fillId="14" borderId="5" xfId="0" applyNumberFormat="1" applyFill="1" applyBorder="1" applyAlignment="1">
      <alignment horizontal="center"/>
    </xf>
    <xf numFmtId="17" fontId="0" fillId="14" borderId="5" xfId="0" applyNumberFormat="1" applyFill="1" applyBorder="1" applyAlignment="1">
      <alignment horizontal="left"/>
    </xf>
    <xf numFmtId="0" fontId="17" fillId="0" borderId="0" xfId="7" applyAlignment="1" applyProtection="1"/>
    <xf numFmtId="174" fontId="0" fillId="0" borderId="0" xfId="0" applyNumberFormat="1"/>
    <xf numFmtId="2" fontId="0" fillId="0" borderId="0" xfId="0" applyNumberFormat="1"/>
    <xf numFmtId="175" fontId="0" fillId="0" borderId="0" xfId="0" applyNumberFormat="1"/>
    <xf numFmtId="173" fontId="0" fillId="0" borderId="0" xfId="0" applyNumberFormat="1"/>
    <xf numFmtId="9" fontId="0" fillId="0" borderId="0" xfId="0" applyNumberFormat="1"/>
    <xf numFmtId="0" fontId="22" fillId="15" borderId="0" xfId="0" applyFont="1" applyFill="1"/>
    <xf numFmtId="0" fontId="0" fillId="15" borderId="0" xfId="0" applyFill="1"/>
    <xf numFmtId="168" fontId="23" fillId="10" borderId="5" xfId="0" applyNumberFormat="1" applyFont="1" applyFill="1" applyBorder="1" applyAlignment="1">
      <alignment horizontal="center" vertical="top" wrapText="1"/>
    </xf>
    <xf numFmtId="168" fontId="23" fillId="10" borderId="5" xfId="0" applyNumberFormat="1" applyFont="1" applyFill="1" applyBorder="1" applyAlignment="1">
      <alignment horizontal="left" vertical="top" wrapText="1"/>
    </xf>
    <xf numFmtId="0" fontId="0" fillId="10" borderId="5" xfId="0" applyFill="1" applyBorder="1" applyAlignment="1">
      <alignment horizontal="center" vertical="top" wrapText="1"/>
    </xf>
    <xf numFmtId="0" fontId="0" fillId="10" borderId="0" xfId="0" applyFill="1" applyAlignment="1">
      <alignment horizontal="left" vertical="top"/>
    </xf>
    <xf numFmtId="166" fontId="23" fillId="10" borderId="5" xfId="0" applyNumberFormat="1" applyFont="1" applyFill="1" applyBorder="1" applyAlignment="1">
      <alignment horizontal="center" vertical="top" wrapText="1"/>
    </xf>
    <xf numFmtId="0" fontId="0" fillId="10" borderId="5" xfId="0" applyFill="1" applyBorder="1" applyAlignment="1">
      <alignment vertical="top" wrapText="1"/>
    </xf>
    <xf numFmtId="168" fontId="28" fillId="10" borderId="5" xfId="0" applyNumberFormat="1" applyFont="1" applyFill="1" applyBorder="1" applyAlignment="1">
      <alignment horizontal="center" vertical="top" wrapText="1"/>
    </xf>
    <xf numFmtId="0" fontId="0" fillId="10" borderId="8" xfId="0" applyFill="1" applyBorder="1" applyAlignment="1">
      <alignment horizontal="center" vertical="top" wrapText="1"/>
    </xf>
    <xf numFmtId="0" fontId="0" fillId="10" borderId="1" xfId="0" applyFill="1" applyBorder="1" applyAlignment="1">
      <alignment horizontal="center" vertical="top" wrapText="1"/>
    </xf>
    <xf numFmtId="0" fontId="0" fillId="10" borderId="7" xfId="0" applyFill="1" applyBorder="1" applyAlignment="1">
      <alignment horizontal="center" vertical="top" wrapText="1"/>
    </xf>
    <xf numFmtId="0" fontId="29" fillId="10" borderId="0" xfId="0" applyFont="1" applyFill="1" applyAlignment="1">
      <alignment horizontal="left" vertical="top"/>
    </xf>
    <xf numFmtId="168" fontId="23" fillId="10" borderId="0" xfId="0" applyNumberFormat="1" applyFont="1" applyFill="1" applyAlignment="1">
      <alignment horizontal="center" vertical="top" wrapText="1"/>
    </xf>
    <xf numFmtId="168" fontId="23" fillId="10" borderId="0" xfId="0" applyNumberFormat="1" applyFont="1" applyFill="1" applyAlignment="1">
      <alignment horizontal="left" vertical="top" wrapText="1"/>
    </xf>
    <xf numFmtId="0" fontId="0" fillId="10" borderId="0" xfId="0" applyFill="1" applyAlignment="1">
      <alignment horizontal="left" vertical="top" wrapText="1"/>
    </xf>
    <xf numFmtId="168" fontId="23" fillId="10" borderId="7" xfId="0" applyNumberFormat="1" applyFont="1" applyFill="1" applyBorder="1" applyAlignment="1">
      <alignment horizontal="center" vertical="top" wrapText="1"/>
    </xf>
    <xf numFmtId="168" fontId="23" fillId="10" borderId="7" xfId="0" applyNumberFormat="1" applyFont="1" applyFill="1" applyBorder="1" applyAlignment="1">
      <alignment vertical="top" wrapText="1"/>
    </xf>
    <xf numFmtId="0" fontId="0" fillId="10" borderId="7" xfId="0" applyFill="1" applyBorder="1" applyAlignment="1">
      <alignment vertical="top" wrapText="1"/>
    </xf>
    <xf numFmtId="168" fontId="28" fillId="10" borderId="7" xfId="0" applyNumberFormat="1" applyFont="1" applyFill="1" applyBorder="1" applyAlignment="1">
      <alignment horizontal="center" vertical="top" wrapText="1"/>
    </xf>
    <xf numFmtId="168" fontId="23" fillId="10" borderId="0" xfId="0" applyNumberFormat="1" applyFont="1" applyFill="1" applyAlignment="1">
      <alignment horizontal="left" vertical="top"/>
    </xf>
    <xf numFmtId="0" fontId="32" fillId="10" borderId="0" xfId="0" applyFont="1" applyFill="1" applyAlignment="1">
      <alignment horizontal="left" vertical="top"/>
    </xf>
    <xf numFmtId="0" fontId="33" fillId="10" borderId="5" xfId="0" applyFont="1" applyFill="1" applyBorder="1" applyAlignment="1">
      <alignment horizontal="center" vertical="top" wrapText="1"/>
    </xf>
    <xf numFmtId="0" fontId="33" fillId="10" borderId="5" xfId="0" applyFont="1" applyFill="1" applyBorder="1" applyAlignment="1">
      <alignment horizontal="left" vertical="top" wrapText="1"/>
    </xf>
    <xf numFmtId="164" fontId="0" fillId="0" borderId="0" xfId="0" applyNumberFormat="1"/>
    <xf numFmtId="0" fontId="33" fillId="0" borderId="0" xfId="0" applyFont="1" applyAlignment="1">
      <alignment horizontal="left" vertical="top"/>
    </xf>
    <xf numFmtId="0" fontId="37" fillId="11" borderId="0" xfId="0" applyFont="1" applyFill="1"/>
    <xf numFmtId="0" fontId="0" fillId="16" borderId="0" xfId="0" applyFill="1"/>
    <xf numFmtId="10" fontId="1" fillId="0" borderId="5" xfId="8" applyNumberFormat="1" applyFont="1" applyBorder="1" applyAlignment="1">
      <alignment horizontal="center"/>
    </xf>
    <xf numFmtId="10" fontId="1" fillId="0" borderId="5" xfId="8" applyNumberFormat="1" applyFont="1" applyFill="1" applyBorder="1" applyAlignment="1">
      <alignment horizontal="center"/>
    </xf>
    <xf numFmtId="167" fontId="33" fillId="0" borderId="5" xfId="0" applyNumberFormat="1" applyFont="1" applyBorder="1" applyAlignment="1">
      <alignment horizontal="center" vertical="top" wrapText="1"/>
    </xf>
    <xf numFmtId="0" fontId="33" fillId="0" borderId="5" xfId="0" applyFont="1" applyBorder="1" applyAlignment="1">
      <alignment horizontal="center" vertical="top" wrapText="1"/>
    </xf>
    <xf numFmtId="0" fontId="33" fillId="0" borderId="5" xfId="0" applyFont="1" applyBorder="1" applyAlignment="1">
      <alignment horizontal="left" vertical="top" wrapText="1"/>
    </xf>
    <xf numFmtId="0" fontId="0" fillId="0" borderId="5" xfId="0" applyBorder="1" applyAlignment="1">
      <alignment horizontal="center"/>
    </xf>
    <xf numFmtId="9" fontId="0" fillId="0" borderId="5" xfId="0" applyNumberFormat="1" applyBorder="1" applyAlignment="1">
      <alignment horizontal="center"/>
    </xf>
    <xf numFmtId="0" fontId="0" fillId="0" borderId="5" xfId="0" applyBorder="1"/>
    <xf numFmtId="0" fontId="15" fillId="0" borderId="5" xfId="0" applyFont="1" applyBorder="1" applyAlignment="1">
      <alignment horizontal="center"/>
    </xf>
    <xf numFmtId="0" fontId="38" fillId="0" borderId="0" xfId="0" applyFont="1"/>
    <xf numFmtId="167" fontId="33" fillId="16" borderId="5" xfId="0" applyNumberFormat="1" applyFont="1" applyFill="1" applyBorder="1" applyAlignment="1">
      <alignment horizontal="center" vertical="top" wrapText="1"/>
    </xf>
    <xf numFmtId="0" fontId="39" fillId="0" borderId="5" xfId="0" applyFont="1" applyBorder="1" applyAlignment="1">
      <alignment horizontal="left" vertical="top" wrapText="1"/>
    </xf>
    <xf numFmtId="168" fontId="40" fillId="0" borderId="5" xfId="0" applyNumberFormat="1" applyFont="1" applyBorder="1" applyAlignment="1">
      <alignment horizontal="center" vertical="top" wrapText="1"/>
    </xf>
    <xf numFmtId="0" fontId="40" fillId="0" borderId="5" xfId="0" applyFont="1" applyBorder="1" applyAlignment="1">
      <alignment horizontal="left" vertical="top"/>
    </xf>
    <xf numFmtId="0" fontId="42" fillId="0" borderId="0" xfId="0" applyFont="1"/>
    <xf numFmtId="0" fontId="0" fillId="0" borderId="5" xfId="0" applyBorder="1" applyAlignment="1">
      <alignment horizontal="left"/>
    </xf>
    <xf numFmtId="167" fontId="33" fillId="0" borderId="0" xfId="0" applyNumberFormat="1" applyFont="1" applyAlignment="1">
      <alignment horizontal="center" vertical="top" wrapText="1"/>
    </xf>
    <xf numFmtId="0" fontId="33" fillId="0" borderId="0" xfId="0" applyFont="1" applyAlignment="1">
      <alignment horizontal="center" vertical="top" wrapText="1"/>
    </xf>
    <xf numFmtId="0" fontId="33" fillId="0" borderId="0" xfId="0" applyFont="1" applyAlignment="1">
      <alignment horizontal="left" vertical="top" wrapText="1"/>
    </xf>
    <xf numFmtId="11" fontId="0" fillId="0" borderId="5" xfId="0" applyNumberFormat="1" applyBorder="1" applyAlignment="1">
      <alignment horizontal="center"/>
    </xf>
    <xf numFmtId="10" fontId="0" fillId="0" borderId="5" xfId="0" applyNumberFormat="1" applyBorder="1" applyAlignment="1">
      <alignment horizontal="center"/>
    </xf>
    <xf numFmtId="0" fontId="0" fillId="0" borderId="5" xfId="0" applyBorder="1" applyAlignment="1">
      <alignment horizontal="left" wrapText="1"/>
    </xf>
    <xf numFmtId="0" fontId="43" fillId="0" borderId="0" xfId="0" applyFont="1"/>
    <xf numFmtId="0" fontId="0" fillId="17" borderId="15" xfId="0" applyFill="1" applyBorder="1"/>
    <xf numFmtId="0" fontId="0" fillId="17" borderId="2" xfId="0" applyFill="1" applyBorder="1"/>
    <xf numFmtId="0" fontId="0" fillId="17" borderId="16" xfId="0" applyFill="1" applyBorder="1"/>
    <xf numFmtId="0" fontId="0" fillId="17" borderId="17" xfId="0" applyFill="1" applyBorder="1"/>
    <xf numFmtId="0" fontId="0" fillId="17" borderId="0" xfId="0" applyFill="1"/>
    <xf numFmtId="0" fontId="0" fillId="17" borderId="18" xfId="0" applyFill="1" applyBorder="1"/>
    <xf numFmtId="0" fontId="0" fillId="17" borderId="19" xfId="0" applyFill="1" applyBorder="1"/>
    <xf numFmtId="0" fontId="0" fillId="17" borderId="20" xfId="0" applyFill="1" applyBorder="1"/>
    <xf numFmtId="0" fontId="0" fillId="17" borderId="21" xfId="0" applyFill="1" applyBorder="1"/>
    <xf numFmtId="2" fontId="0" fillId="17" borderId="2" xfId="0" applyNumberFormat="1" applyFill="1" applyBorder="1"/>
    <xf numFmtId="0" fontId="0" fillId="18" borderId="2" xfId="0" applyFill="1" applyBorder="1"/>
    <xf numFmtId="0" fontId="0" fillId="18" borderId="16" xfId="0" applyFill="1" applyBorder="1"/>
    <xf numFmtId="168" fontId="33" fillId="0" borderId="5" xfId="0" applyNumberFormat="1" applyFont="1" applyBorder="1" applyAlignment="1">
      <alignment horizontal="center" vertical="top" wrapText="1"/>
    </xf>
    <xf numFmtId="168" fontId="33" fillId="0" borderId="5" xfId="0" applyNumberFormat="1" applyFont="1" applyBorder="1" applyAlignment="1">
      <alignment horizontal="left" vertical="top" wrapText="1"/>
    </xf>
    <xf numFmtId="164" fontId="0" fillId="17" borderId="0" xfId="0" applyNumberFormat="1" applyFill="1"/>
    <xf numFmtId="0" fontId="0" fillId="18" borderId="0" xfId="0" applyFill="1"/>
    <xf numFmtId="0" fontId="0" fillId="18" borderId="18" xfId="0" applyFill="1" applyBorder="1" applyAlignment="1">
      <alignment wrapText="1"/>
    </xf>
    <xf numFmtId="0" fontId="44" fillId="18" borderId="18" xfId="0" applyFont="1" applyFill="1" applyBorder="1" applyAlignment="1">
      <alignment wrapText="1"/>
    </xf>
    <xf numFmtId="173" fontId="0" fillId="17" borderId="20" xfId="0" applyNumberFormat="1" applyFill="1" applyBorder="1"/>
    <xf numFmtId="0" fontId="0" fillId="18" borderId="20" xfId="0" applyFill="1" applyBorder="1"/>
    <xf numFmtId="0" fontId="0" fillId="18" borderId="21" xfId="0" applyFill="1" applyBorder="1" applyAlignment="1">
      <alignment wrapText="1"/>
    </xf>
    <xf numFmtId="0" fontId="44" fillId="0" borderId="0" xfId="0" applyFont="1"/>
    <xf numFmtId="0" fontId="0" fillId="0" borderId="5" xfId="0" applyBorder="1" applyAlignment="1">
      <alignment horizontal="center" vertical="center"/>
    </xf>
    <xf numFmtId="11" fontId="0" fillId="0" borderId="5" xfId="0" applyNumberFormat="1" applyBorder="1" applyAlignment="1">
      <alignment horizontal="center" vertical="center"/>
    </xf>
    <xf numFmtId="10" fontId="0" fillId="0" borderId="5" xfId="0" applyNumberFormat="1" applyBorder="1" applyAlignment="1">
      <alignment horizontal="center" vertical="center"/>
    </xf>
    <xf numFmtId="168" fontId="33" fillId="19" borderId="5" xfId="0" applyNumberFormat="1" applyFont="1" applyFill="1" applyBorder="1" applyAlignment="1">
      <alignment horizontal="center" vertical="top" wrapText="1"/>
    </xf>
    <xf numFmtId="168" fontId="33" fillId="16" borderId="5" xfId="0" applyNumberFormat="1" applyFont="1" applyFill="1" applyBorder="1" applyAlignment="1">
      <alignment horizontal="center" vertical="top" wrapText="1"/>
    </xf>
    <xf numFmtId="0" fontId="33" fillId="16" borderId="5" xfId="0" applyFont="1" applyFill="1" applyBorder="1" applyAlignment="1">
      <alignment horizontal="center" vertical="top" wrapText="1"/>
    </xf>
    <xf numFmtId="168" fontId="40" fillId="0" borderId="5" xfId="0" applyNumberFormat="1" applyFont="1" applyBorder="1" applyAlignment="1">
      <alignment horizontal="left" vertical="top" wrapText="1"/>
    </xf>
    <xf numFmtId="0" fontId="41" fillId="0" borderId="5" xfId="0" applyFont="1" applyBorder="1" applyAlignment="1">
      <alignment horizontal="left" vertical="top"/>
    </xf>
    <xf numFmtId="176" fontId="14" fillId="19" borderId="0" xfId="5" applyNumberFormat="1" applyFont="1" applyFill="1" applyBorder="1" applyAlignment="1">
      <alignment horizontal="left" vertical="top"/>
    </xf>
    <xf numFmtId="0" fontId="14" fillId="0" borderId="0" xfId="0" applyFont="1" applyAlignment="1">
      <alignment horizontal="left" vertical="top"/>
    </xf>
    <xf numFmtId="0" fontId="45" fillId="0" borderId="0" xfId="0" applyFont="1" applyAlignment="1">
      <alignment horizontal="left" vertical="top"/>
    </xf>
    <xf numFmtId="43" fontId="0" fillId="0" borderId="0" xfId="0" applyNumberFormat="1" applyAlignment="1">
      <alignment horizontal="left" vertical="top"/>
    </xf>
    <xf numFmtId="0" fontId="46" fillId="0" borderId="0" xfId="0" applyFont="1" applyAlignment="1">
      <alignment horizontal="left" vertical="top"/>
    </xf>
    <xf numFmtId="0" fontId="0" fillId="0" borderId="5" xfId="0" applyBorder="1" applyAlignment="1">
      <alignment horizontal="center" vertical="top" wrapText="1"/>
    </xf>
    <xf numFmtId="168" fontId="23" fillId="0" borderId="5" xfId="0" applyNumberFormat="1" applyFont="1" applyBorder="1" applyAlignment="1">
      <alignment horizontal="center" vertical="top" wrapText="1"/>
    </xf>
    <xf numFmtId="168" fontId="23" fillId="0" borderId="5" xfId="0" applyNumberFormat="1" applyFont="1" applyBorder="1" applyAlignment="1">
      <alignment horizontal="left" vertical="top" wrapText="1"/>
    </xf>
    <xf numFmtId="0" fontId="0" fillId="0" borderId="5" xfId="0" applyBorder="1" applyAlignment="1">
      <alignment horizontal="left" vertical="top" wrapText="1"/>
    </xf>
    <xf numFmtId="0" fontId="47" fillId="11" borderId="0" xfId="0" applyFont="1" applyFill="1"/>
    <xf numFmtId="0" fontId="31" fillId="0" borderId="5" xfId="0" applyFont="1" applyBorder="1" applyAlignment="1">
      <alignment horizontal="left" vertical="top" wrapText="1"/>
    </xf>
    <xf numFmtId="175" fontId="0" fillId="0" borderId="5" xfId="0" applyNumberFormat="1" applyBorder="1" applyAlignment="1">
      <alignment horizontal="center"/>
    </xf>
    <xf numFmtId="0" fontId="0" fillId="0" borderId="5" xfId="0" applyBorder="1" applyAlignment="1">
      <alignment wrapText="1"/>
    </xf>
    <xf numFmtId="168" fontId="28" fillId="0" borderId="5" xfId="0" applyNumberFormat="1" applyFont="1" applyBorder="1" applyAlignment="1">
      <alignment horizontal="center" vertical="top" wrapText="1"/>
    </xf>
    <xf numFmtId="0" fontId="15" fillId="0" borderId="5" xfId="0" applyFont="1" applyBorder="1" applyAlignment="1">
      <alignment horizontal="left" vertical="top"/>
    </xf>
    <xf numFmtId="0" fontId="24" fillId="0" borderId="5" xfId="0" applyFont="1" applyBorder="1" applyAlignment="1">
      <alignment horizontal="left" vertical="top"/>
    </xf>
    <xf numFmtId="0" fontId="17" fillId="0" borderId="0" xfId="7" applyFill="1" applyAlignment="1" applyProtection="1"/>
    <xf numFmtId="0" fontId="0" fillId="0" borderId="0" xfId="0" applyAlignment="1">
      <alignment horizontal="center"/>
    </xf>
    <xf numFmtId="1" fontId="0" fillId="0" borderId="0" xfId="0" applyNumberFormat="1" applyAlignment="1">
      <alignment horizontal="center"/>
    </xf>
    <xf numFmtId="11" fontId="0" fillId="0" borderId="0" xfId="0" applyNumberFormat="1"/>
    <xf numFmtId="0" fontId="4" fillId="20" borderId="5" xfId="0" applyFont="1" applyFill="1" applyBorder="1" applyAlignment="1">
      <alignment horizontal="center"/>
    </xf>
    <xf numFmtId="2" fontId="0" fillId="0" borderId="0" xfId="0" applyNumberFormat="1" applyAlignment="1">
      <alignment horizontal="center"/>
    </xf>
    <xf numFmtId="17" fontId="0" fillId="0" borderId="0" xfId="0" applyNumberFormat="1"/>
    <xf numFmtId="0" fontId="0" fillId="0" borderId="0" xfId="0" applyAlignment="1">
      <alignment horizontal="right"/>
    </xf>
    <xf numFmtId="11" fontId="0" fillId="0" borderId="0" xfId="0" applyNumberFormat="1" applyAlignment="1">
      <alignment horizontal="center"/>
    </xf>
    <xf numFmtId="169" fontId="0" fillId="14" borderId="5" xfId="5" applyNumberFormat="1" applyFont="1" applyFill="1" applyBorder="1" applyAlignment="1">
      <alignment horizontal="center"/>
    </xf>
    <xf numFmtId="0" fontId="0" fillId="14" borderId="5" xfId="0" applyFill="1" applyBorder="1" applyAlignment="1">
      <alignment horizontal="center"/>
    </xf>
    <xf numFmtId="0" fontId="0" fillId="13" borderId="5" xfId="0" applyFill="1" applyBorder="1" applyAlignment="1">
      <alignment horizontal="center"/>
    </xf>
    <xf numFmtId="0" fontId="18" fillId="3" borderId="5" xfId="0" applyFont="1" applyFill="1" applyBorder="1" applyAlignment="1">
      <alignment horizontal="center"/>
    </xf>
    <xf numFmtId="175" fontId="18" fillId="0" borderId="5" xfId="0" applyNumberFormat="1" applyFont="1" applyBorder="1" applyAlignment="1">
      <alignment horizontal="center"/>
    </xf>
    <xf numFmtId="0" fontId="0" fillId="20" borderId="5" xfId="0" applyFill="1" applyBorder="1" applyAlignment="1">
      <alignment horizontal="center"/>
    </xf>
    <xf numFmtId="0" fontId="0" fillId="12" borderId="0" xfId="0" applyFill="1" applyAlignment="1">
      <alignment horizontal="center"/>
    </xf>
    <xf numFmtId="0" fontId="49" fillId="0" borderId="0" xfId="2" applyFont="1"/>
    <xf numFmtId="2" fontId="0" fillId="12" borderId="0" xfId="0" applyNumberFormat="1" applyFill="1" applyAlignment="1">
      <alignment horizontal="center"/>
    </xf>
    <xf numFmtId="2" fontId="0" fillId="21" borderId="0" xfId="0" applyNumberFormat="1" applyFill="1" applyAlignment="1">
      <alignment horizontal="center"/>
    </xf>
    <xf numFmtId="2" fontId="0" fillId="22" borderId="0" xfId="0" applyNumberFormat="1" applyFill="1" applyAlignment="1">
      <alignment horizontal="center"/>
    </xf>
    <xf numFmtId="0" fontId="50" fillId="0" borderId="0" xfId="2" applyFont="1" applyAlignment="1">
      <alignment horizontal="center"/>
    </xf>
    <xf numFmtId="1" fontId="0" fillId="21" borderId="0" xfId="0" applyNumberFormat="1" applyFill="1" applyAlignment="1">
      <alignment horizontal="center"/>
    </xf>
    <xf numFmtId="1" fontId="0" fillId="22" borderId="0" xfId="0" applyNumberFormat="1" applyFill="1" applyAlignment="1">
      <alignment horizontal="center"/>
    </xf>
    <xf numFmtId="172" fontId="0" fillId="13" borderId="0" xfId="0" applyNumberFormat="1" applyFill="1"/>
    <xf numFmtId="0" fontId="0" fillId="21" borderId="0" xfId="0" applyFill="1" applyAlignment="1">
      <alignment horizontal="center"/>
    </xf>
    <xf numFmtId="0" fontId="0" fillId="21" borderId="6" xfId="0" applyFill="1" applyBorder="1"/>
    <xf numFmtId="0" fontId="51" fillId="23" borderId="22" xfId="0" applyFont="1" applyFill="1" applyBorder="1" applyAlignment="1">
      <alignment vertical="top" wrapText="1"/>
    </xf>
    <xf numFmtId="9" fontId="52" fillId="23" borderId="22" xfId="0" applyNumberFormat="1" applyFont="1" applyFill="1" applyBorder="1" applyAlignment="1">
      <alignment vertical="top" shrinkToFit="1"/>
    </xf>
    <xf numFmtId="9" fontId="52" fillId="23" borderId="22" xfId="0" applyNumberFormat="1" applyFont="1" applyFill="1" applyBorder="1" applyAlignment="1">
      <alignment horizontal="center" vertical="top" shrinkToFit="1"/>
    </xf>
    <xf numFmtId="0" fontId="51" fillId="0" borderId="0" xfId="0" applyFont="1" applyAlignment="1">
      <alignment vertical="top" wrapText="1"/>
    </xf>
    <xf numFmtId="0" fontId="53" fillId="0" borderId="0" xfId="0" applyFont="1" applyAlignment="1">
      <alignment vertical="top" wrapText="1"/>
    </xf>
    <xf numFmtId="0" fontId="53" fillId="0" borderId="0" xfId="0" applyFont="1" applyAlignment="1">
      <alignment horizontal="center" vertical="top" wrapText="1"/>
    </xf>
    <xf numFmtId="0" fontId="51" fillId="23" borderId="0" xfId="0" applyFont="1" applyFill="1" applyAlignment="1">
      <alignment vertical="top" wrapText="1"/>
    </xf>
    <xf numFmtId="1" fontId="52" fillId="23" borderId="0" xfId="0" applyNumberFormat="1" applyFont="1" applyFill="1" applyAlignment="1">
      <alignment horizontal="center" vertical="top" shrinkToFit="1"/>
    </xf>
    <xf numFmtId="0" fontId="51" fillId="10" borderId="0" xfId="0" applyFont="1" applyFill="1" applyAlignment="1">
      <alignment vertical="top" wrapText="1"/>
    </xf>
    <xf numFmtId="1" fontId="52" fillId="0" borderId="0" xfId="0" applyNumberFormat="1" applyFont="1" applyAlignment="1">
      <alignment horizontal="center" vertical="top" shrinkToFit="1"/>
    </xf>
    <xf numFmtId="0" fontId="51" fillId="23" borderId="0" xfId="0" applyFont="1" applyFill="1" applyAlignment="1">
      <alignment horizontal="center" vertical="top" wrapText="1"/>
    </xf>
    <xf numFmtId="0" fontId="51" fillId="0" borderId="0" xfId="0" applyFont="1" applyAlignment="1">
      <alignment horizontal="center" vertical="top" wrapText="1"/>
    </xf>
    <xf numFmtId="1" fontId="52" fillId="0" borderId="0" xfId="0" applyNumberFormat="1" applyFont="1" applyAlignment="1">
      <alignment vertical="top" shrinkToFit="1"/>
    </xf>
    <xf numFmtId="1" fontId="52" fillId="23" borderId="0" xfId="0" applyNumberFormat="1" applyFont="1" applyFill="1" applyAlignment="1">
      <alignment vertical="top" shrinkToFit="1"/>
    </xf>
    <xf numFmtId="3" fontId="52" fillId="0" borderId="0" xfId="0" applyNumberFormat="1" applyFont="1" applyAlignment="1">
      <alignment vertical="top" shrinkToFit="1"/>
    </xf>
    <xf numFmtId="3" fontId="52" fillId="0" borderId="0" xfId="0" applyNumberFormat="1" applyFont="1" applyAlignment="1">
      <alignment horizontal="center" vertical="top" shrinkToFit="1"/>
    </xf>
    <xf numFmtId="0" fontId="51" fillId="23" borderId="23" xfId="0" applyFont="1" applyFill="1" applyBorder="1" applyAlignment="1">
      <alignment vertical="top" wrapText="1"/>
    </xf>
    <xf numFmtId="0" fontId="51" fillId="23" borderId="23" xfId="0" applyFont="1" applyFill="1" applyBorder="1" applyAlignment="1">
      <alignment horizontal="center" vertical="top" wrapText="1"/>
    </xf>
    <xf numFmtId="0" fontId="24" fillId="24" borderId="24" xfId="0" applyFont="1" applyFill="1" applyBorder="1" applyAlignment="1">
      <alignment vertical="top" wrapText="1"/>
    </xf>
    <xf numFmtId="0" fontId="19" fillId="0" borderId="0" xfId="0" applyFont="1"/>
    <xf numFmtId="177" fontId="0" fillId="0" borderId="0" xfId="0" applyNumberFormat="1"/>
    <xf numFmtId="22" fontId="0" fillId="0" borderId="0" xfId="0" applyNumberFormat="1"/>
    <xf numFmtId="169" fontId="0" fillId="0" borderId="0" xfId="5" applyNumberFormat="1" applyFont="1"/>
    <xf numFmtId="170" fontId="0" fillId="0" borderId="5" xfId="5" applyFont="1" applyFill="1" applyBorder="1"/>
    <xf numFmtId="1" fontId="0" fillId="12" borderId="0" xfId="0" applyNumberFormat="1" applyFill="1" applyAlignment="1">
      <alignment horizontal="center"/>
    </xf>
    <xf numFmtId="0" fontId="0" fillId="22" borderId="0" xfId="0" applyFill="1" applyAlignment="1">
      <alignment horizontal="center"/>
    </xf>
    <xf numFmtId="0" fontId="11" fillId="0" borderId="0" xfId="2"/>
    <xf numFmtId="0" fontId="11" fillId="12" borderId="0" xfId="2" applyFill="1"/>
    <xf numFmtId="0" fontId="11" fillId="13" borderId="0" xfId="2" applyFill="1"/>
    <xf numFmtId="2" fontId="11" fillId="0" borderId="0" xfId="9" applyNumberFormat="1" applyFont="1" applyFill="1" applyAlignment="1">
      <alignment horizontal="right"/>
    </xf>
    <xf numFmtId="2" fontId="11" fillId="12" borderId="0" xfId="9" applyNumberFormat="1" applyFont="1" applyFill="1" applyAlignment="1">
      <alignment horizontal="right"/>
    </xf>
    <xf numFmtId="0" fontId="50" fillId="0" borderId="0" xfId="2" applyFont="1" applyAlignment="1" applyProtection="1">
      <alignment horizontal="left"/>
      <protection locked="0"/>
    </xf>
    <xf numFmtId="2" fontId="11" fillId="0" borderId="0" xfId="2" applyNumberFormat="1"/>
    <xf numFmtId="2" fontId="11" fillId="13" borderId="0" xfId="9" applyNumberFormat="1" applyFont="1" applyFill="1" applyAlignment="1">
      <alignment horizontal="right"/>
    </xf>
    <xf numFmtId="1" fontId="11" fillId="0" borderId="0" xfId="9" applyNumberFormat="1" applyFont="1" applyFill="1" applyAlignment="1">
      <alignment horizontal="right"/>
    </xf>
    <xf numFmtId="1" fontId="57" fillId="0" borderId="0" xfId="9" applyNumberFormat="1" applyFont="1" applyFill="1" applyAlignment="1">
      <alignment horizontal="right"/>
    </xf>
    <xf numFmtId="2" fontId="57" fillId="0" borderId="0" xfId="9" applyNumberFormat="1" applyFont="1" applyFill="1" applyAlignment="1">
      <alignment horizontal="right"/>
    </xf>
    <xf numFmtId="173" fontId="11" fillId="0" borderId="0" xfId="9" applyNumberFormat="1" applyFont="1" applyFill="1" applyAlignment="1">
      <alignment horizontal="right"/>
    </xf>
    <xf numFmtId="2" fontId="58" fillId="12" borderId="2" xfId="2" applyNumberFormat="1" applyFont="1" applyFill="1" applyBorder="1" applyAlignment="1">
      <alignment horizontal="center"/>
    </xf>
    <xf numFmtId="2" fontId="11" fillId="0" borderId="2" xfId="2" applyNumberFormat="1" applyBorder="1" applyAlignment="1">
      <alignment horizontal="center"/>
    </xf>
    <xf numFmtId="2" fontId="11" fillId="12" borderId="2" xfId="2" applyNumberFormat="1" applyFill="1" applyBorder="1" applyAlignment="1">
      <alignment horizontal="center"/>
    </xf>
    <xf numFmtId="2" fontId="11" fillId="13" borderId="2" xfId="2" applyNumberFormat="1" applyFill="1" applyBorder="1" applyAlignment="1">
      <alignment horizontal="center"/>
    </xf>
    <xf numFmtId="0" fontId="11" fillId="0" borderId="2" xfId="2" applyBorder="1" applyAlignment="1">
      <alignment horizontal="center" wrapText="1"/>
    </xf>
    <xf numFmtId="2" fontId="58" fillId="0" borderId="2" xfId="2" applyNumberFormat="1" applyFont="1" applyBorder="1" applyAlignment="1">
      <alignment horizontal="center"/>
    </xf>
    <xf numFmtId="0" fontId="11" fillId="0" borderId="2" xfId="2" applyBorder="1"/>
    <xf numFmtId="0" fontId="59" fillId="0" borderId="0" xfId="2" applyFont="1" applyAlignment="1">
      <alignment horizontal="center" wrapText="1"/>
    </xf>
    <xf numFmtId="0" fontId="59" fillId="12" borderId="3" xfId="2" applyFont="1" applyFill="1" applyBorder="1" applyAlignment="1">
      <alignment horizontal="center" wrapText="1"/>
    </xf>
    <xf numFmtId="0" fontId="59" fillId="0" borderId="3" xfId="2" applyFont="1" applyBorder="1" applyAlignment="1">
      <alignment horizontal="center" wrapText="1"/>
    </xf>
    <xf numFmtId="0" fontId="59" fillId="0" borderId="3" xfId="2" applyFont="1" applyBorder="1" applyAlignment="1">
      <alignment horizontal="center" vertical="center" wrapText="1"/>
    </xf>
    <xf numFmtId="0" fontId="59" fillId="12" borderId="3" xfId="2" applyFont="1" applyFill="1" applyBorder="1" applyAlignment="1">
      <alignment horizontal="center" vertical="center" wrapText="1"/>
    </xf>
    <xf numFmtId="0" fontId="59" fillId="13" borderId="3" xfId="2" applyFont="1" applyFill="1" applyBorder="1" applyAlignment="1">
      <alignment horizontal="center" vertical="center" wrapText="1"/>
    </xf>
    <xf numFmtId="0" fontId="59" fillId="12" borderId="0" xfId="2" applyFont="1" applyFill="1" applyAlignment="1">
      <alignment horizontal="center" wrapText="1"/>
    </xf>
    <xf numFmtId="0" fontId="59" fillId="0" borderId="6" xfId="2" applyFont="1" applyBorder="1" applyAlignment="1">
      <alignment horizontal="center" wrapText="1"/>
    </xf>
    <xf numFmtId="0" fontId="59" fillId="13" borderId="6" xfId="2" applyFont="1" applyFill="1" applyBorder="1" applyAlignment="1">
      <alignment horizontal="center" wrapText="1"/>
    </xf>
    <xf numFmtId="0" fontId="11" fillId="0" borderId="0" xfId="2" applyAlignment="1">
      <alignment horizontal="center"/>
    </xf>
    <xf numFmtId="0" fontId="11" fillId="0" borderId="0" xfId="2" applyAlignment="1" applyProtection="1">
      <alignment horizontal="center"/>
      <protection locked="0"/>
    </xf>
    <xf numFmtId="0" fontId="59" fillId="0" borderId="0" xfId="2" applyFont="1"/>
    <xf numFmtId="0" fontId="11" fillId="13" borderId="0" xfId="2" applyFill="1" applyAlignment="1" applyProtection="1">
      <alignment horizontal="center"/>
      <protection locked="0"/>
    </xf>
    <xf numFmtId="0" fontId="61" fillId="0" borderId="0" xfId="2" applyFont="1" applyAlignment="1">
      <alignment horizontal="center"/>
    </xf>
    <xf numFmtId="0" fontId="61" fillId="13" borderId="0" xfId="2" applyFont="1" applyFill="1" applyAlignment="1">
      <alignment horizontal="center"/>
    </xf>
    <xf numFmtId="0" fontId="61" fillId="0" borderId="0" xfId="2" applyFont="1"/>
    <xf numFmtId="0" fontId="12" fillId="0" borderId="4" xfId="3" applyAlignment="1">
      <alignment horizontal="left"/>
    </xf>
    <xf numFmtId="2" fontId="11" fillId="16" borderId="27" xfId="2" applyNumberFormat="1" applyFill="1" applyBorder="1"/>
    <xf numFmtId="4" fontId="66" fillId="0" borderId="28" xfId="12" applyNumberFormat="1" applyFont="1" applyBorder="1" applyAlignment="1">
      <alignment horizontal="right" vertical="center" wrapText="1"/>
    </xf>
    <xf numFmtId="4" fontId="66" fillId="0" borderId="28" xfId="2" applyNumberFormat="1" applyFont="1" applyBorder="1" applyAlignment="1">
      <alignment horizontal="right" vertical="center" wrapText="1"/>
    </xf>
    <xf numFmtId="0" fontId="66" fillId="0" borderId="28" xfId="2" applyFont="1" applyBorder="1" applyAlignment="1">
      <alignment horizontal="left" vertical="center" wrapText="1"/>
    </xf>
    <xf numFmtId="0" fontId="67" fillId="29" borderId="28" xfId="12" applyFont="1" applyFill="1" applyBorder="1" applyAlignment="1">
      <alignment horizontal="center" vertical="center" wrapText="1"/>
    </xf>
    <xf numFmtId="0" fontId="67" fillId="29" borderId="28" xfId="2" applyFont="1" applyFill="1" applyBorder="1" applyAlignment="1">
      <alignment horizontal="center" vertical="center" wrapText="1"/>
    </xf>
    <xf numFmtId="0" fontId="11" fillId="0" borderId="0" xfId="12"/>
    <xf numFmtId="0" fontId="66" fillId="0" borderId="0" xfId="2" applyFont="1" applyAlignment="1">
      <alignment horizontal="left" vertical="center"/>
    </xf>
    <xf numFmtId="4" fontId="66" fillId="0" borderId="0" xfId="12" applyNumberFormat="1" applyFont="1" applyAlignment="1">
      <alignment horizontal="left" vertical="center"/>
    </xf>
    <xf numFmtId="4" fontId="66" fillId="0" borderId="0" xfId="2" applyNumberFormat="1" applyFont="1" applyAlignment="1">
      <alignment horizontal="left" vertical="center"/>
    </xf>
    <xf numFmtId="0" fontId="66" fillId="0" borderId="0" xfId="2" applyFont="1" applyAlignment="1">
      <alignment horizontal="left" vertical="center" wrapText="1"/>
    </xf>
    <xf numFmtId="4" fontId="13" fillId="26" borderId="28" xfId="14" applyNumberFormat="1" applyBorder="1" applyAlignment="1" applyProtection="1">
      <alignment horizontal="right" vertical="center" wrapText="1"/>
    </xf>
    <xf numFmtId="4" fontId="66" fillId="0" borderId="28" xfId="0" applyNumberFormat="1" applyFont="1" applyBorder="1" applyAlignment="1">
      <alignment horizontal="right" vertical="center" wrapText="1"/>
    </xf>
    <xf numFmtId="179" fontId="66" fillId="0" borderId="0" xfId="12" applyNumberFormat="1" applyFont="1" applyAlignment="1">
      <alignment horizontal="left" vertical="center"/>
    </xf>
    <xf numFmtId="180" fontId="66" fillId="0" borderId="0" xfId="2" applyNumberFormat="1" applyFont="1" applyAlignment="1">
      <alignment horizontal="left" vertical="center"/>
    </xf>
    <xf numFmtId="4" fontId="11" fillId="0" borderId="0" xfId="2" applyNumberFormat="1"/>
    <xf numFmtId="175" fontId="65" fillId="28" borderId="26" xfId="16" applyNumberFormat="1"/>
    <xf numFmtId="0" fontId="65" fillId="28" borderId="26" xfId="16"/>
    <xf numFmtId="0" fontId="64" fillId="27" borderId="26" xfId="15"/>
    <xf numFmtId="0" fontId="11" fillId="0" borderId="0" xfId="17"/>
    <xf numFmtId="4" fontId="13" fillId="26" borderId="8" xfId="14" applyNumberFormat="1" applyBorder="1" applyAlignment="1">
      <alignment horizontal="left" vertical="center"/>
    </xf>
    <xf numFmtId="4" fontId="66" fillId="11" borderId="8" xfId="17" applyNumberFormat="1" applyFont="1" applyFill="1" applyBorder="1" applyAlignment="1">
      <alignment horizontal="left" vertical="center"/>
    </xf>
    <xf numFmtId="4" fontId="66" fillId="11" borderId="1" xfId="17" applyNumberFormat="1" applyFont="1" applyFill="1" applyBorder="1" applyAlignment="1">
      <alignment horizontal="left" vertical="center"/>
    </xf>
    <xf numFmtId="175" fontId="11" fillId="0" borderId="0" xfId="17" applyNumberFormat="1"/>
    <xf numFmtId="173" fontId="11" fillId="0" borderId="0" xfId="17" applyNumberFormat="1"/>
    <xf numFmtId="4" fontId="13" fillId="26" borderId="0" xfId="14" applyNumberFormat="1" applyAlignment="1">
      <alignment horizontal="left" vertical="center"/>
    </xf>
    <xf numFmtId="4" fontId="66" fillId="0" borderId="0" xfId="17" applyNumberFormat="1" applyFont="1" applyAlignment="1">
      <alignment horizontal="left" vertical="center"/>
    </xf>
    <xf numFmtId="4" fontId="13" fillId="26" borderId="29" xfId="14" applyNumberFormat="1" applyBorder="1" applyAlignment="1">
      <alignment horizontal="right" vertical="center" wrapText="1"/>
    </xf>
    <xf numFmtId="4" fontId="66" fillId="0" borderId="29" xfId="18" applyNumberFormat="1" applyFont="1" applyBorder="1" applyAlignment="1">
      <alignment horizontal="right" vertical="center" wrapText="1"/>
    </xf>
    <xf numFmtId="4" fontId="66" fillId="0" borderId="29" xfId="2" applyNumberFormat="1" applyFont="1" applyBorder="1" applyAlignment="1">
      <alignment horizontal="right" vertical="center" wrapText="1"/>
    </xf>
    <xf numFmtId="0" fontId="66" fillId="0" borderId="29" xfId="2" applyFont="1" applyBorder="1" applyAlignment="1">
      <alignment horizontal="left" vertical="center" wrapText="1"/>
    </xf>
    <xf numFmtId="0" fontId="1" fillId="0" borderId="0" xfId="19"/>
    <xf numFmtId="0" fontId="13" fillId="26" borderId="29" xfId="14" applyBorder="1" applyAlignment="1">
      <alignment horizontal="center" vertical="center" wrapText="1"/>
    </xf>
    <xf numFmtId="0" fontId="67" fillId="30" borderId="29" xfId="18" applyFont="1" applyFill="1" applyBorder="1" applyAlignment="1">
      <alignment horizontal="center" vertical="center" wrapText="1"/>
    </xf>
    <xf numFmtId="0" fontId="67" fillId="29" borderId="29" xfId="12" applyFont="1" applyFill="1" applyBorder="1" applyAlignment="1">
      <alignment horizontal="center" vertical="center" wrapText="1"/>
    </xf>
    <xf numFmtId="0" fontId="67" fillId="29" borderId="29" xfId="2" applyFont="1" applyFill="1" applyBorder="1" applyAlignment="1">
      <alignment horizontal="center" vertical="center" wrapText="1"/>
    </xf>
    <xf numFmtId="0" fontId="62" fillId="0" borderId="0" xfId="2" applyFont="1"/>
    <xf numFmtId="165" fontId="63" fillId="0" borderId="0" xfId="13" applyNumberFormat="1" applyFill="1"/>
    <xf numFmtId="0" fontId="63" fillId="0" borderId="0" xfId="13" applyFill="1"/>
    <xf numFmtId="165" fontId="63" fillId="0" borderId="30" xfId="13" applyNumberFormat="1" applyFill="1" applyBorder="1" applyAlignment="1">
      <alignment horizontal="left"/>
    </xf>
    <xf numFmtId="0" fontId="0" fillId="0" borderId="11" xfId="0" applyBorder="1"/>
    <xf numFmtId="0" fontId="0" fillId="0" borderId="9" xfId="0" applyBorder="1"/>
    <xf numFmtId="0" fontId="1" fillId="0" borderId="0" xfId="42"/>
    <xf numFmtId="0" fontId="62" fillId="0" borderId="0" xfId="0" applyFont="1"/>
    <xf numFmtId="0" fontId="15" fillId="6" borderId="0" xfId="0" applyFont="1" applyFill="1"/>
    <xf numFmtId="0" fontId="76" fillId="6" borderId="6" xfId="45" applyFont="1" applyFill="1" applyBorder="1"/>
    <xf numFmtId="165" fontId="5" fillId="6" borderId="0" xfId="13" applyNumberFormat="1" applyFont="1" applyFill="1" applyBorder="1" applyAlignment="1">
      <alignment horizontal="left"/>
    </xf>
    <xf numFmtId="171" fontId="0" fillId="0" borderId="11" xfId="21" applyNumberFormat="1" applyFont="1" applyBorder="1"/>
    <xf numFmtId="171" fontId="0" fillId="0" borderId="6" xfId="21" applyNumberFormat="1" applyFont="1" applyBorder="1"/>
    <xf numFmtId="171" fontId="0" fillId="0" borderId="0" xfId="21" applyNumberFormat="1" applyFont="1" applyBorder="1"/>
    <xf numFmtId="171" fontId="0" fillId="0" borderId="10" xfId="21" applyNumberFormat="1" applyFont="1" applyBorder="1"/>
    <xf numFmtId="171" fontId="0" fillId="0" borderId="0" xfId="21" applyNumberFormat="1" applyFont="1"/>
    <xf numFmtId="171" fontId="0" fillId="0" borderId="9" xfId="21" applyNumberFormat="1" applyFont="1" applyBorder="1"/>
    <xf numFmtId="0" fontId="0" fillId="0" borderId="33" xfId="0" applyBorder="1"/>
    <xf numFmtId="0" fontId="0" fillId="0" borderId="12" xfId="0" applyBorder="1"/>
    <xf numFmtId="0" fontId="0" fillId="0" borderId="10" xfId="0" applyBorder="1"/>
    <xf numFmtId="0" fontId="0" fillId="0" borderId="32" xfId="0" applyBorder="1"/>
    <xf numFmtId="0" fontId="0" fillId="0" borderId="30" xfId="0" applyBorder="1"/>
    <xf numFmtId="9" fontId="0" fillId="0" borderId="0" xfId="22" applyFont="1" applyBorder="1"/>
    <xf numFmtId="0" fontId="15" fillId="0" borderId="11" xfId="0" applyFont="1" applyBorder="1"/>
    <xf numFmtId="9" fontId="0" fillId="0" borderId="6" xfId="0" applyNumberFormat="1" applyBorder="1"/>
    <xf numFmtId="9" fontId="0" fillId="0" borderId="9" xfId="0" applyNumberFormat="1" applyBorder="1"/>
    <xf numFmtId="9" fontId="0" fillId="0" borderId="11" xfId="0" applyNumberFormat="1" applyBorder="1"/>
    <xf numFmtId="183" fontId="0" fillId="0" borderId="6" xfId="21" applyNumberFormat="1" applyFont="1" applyBorder="1"/>
    <xf numFmtId="183" fontId="0" fillId="0" borderId="9" xfId="21" applyNumberFormat="1" applyFont="1" applyBorder="1"/>
    <xf numFmtId="183" fontId="0" fillId="0" borderId="10" xfId="21" applyNumberFormat="1" applyFont="1" applyBorder="1"/>
    <xf numFmtId="0" fontId="15" fillId="0" borderId="6" xfId="0" applyFont="1" applyBorder="1"/>
    <xf numFmtId="0" fontId="14" fillId="0" borderId="0" xfId="0" applyFont="1"/>
    <xf numFmtId="0" fontId="15" fillId="0" borderId="9" xfId="0" applyFont="1" applyBorder="1"/>
    <xf numFmtId="175" fontId="86" fillId="28" borderId="34" xfId="170" applyNumberFormat="1" applyFont="1"/>
    <xf numFmtId="0" fontId="14" fillId="0" borderId="0" xfId="0" applyFont="1" applyAlignment="1">
      <alignment horizontal="left"/>
    </xf>
    <xf numFmtId="0" fontId="0" fillId="0" borderId="30" xfId="0" applyBorder="1" applyAlignment="1">
      <alignment horizontal="center" vertical="center" wrapText="1"/>
    </xf>
    <xf numFmtId="0" fontId="0" fillId="0" borderId="0" xfId="0" applyAlignment="1">
      <alignment horizontal="center" vertical="center" wrapText="1"/>
    </xf>
    <xf numFmtId="0" fontId="0" fillId="0" borderId="6" xfId="0" applyBorder="1" applyAlignment="1">
      <alignment horizontal="center" vertical="center" wrapText="1"/>
    </xf>
    <xf numFmtId="0" fontId="15" fillId="0" borderId="12" xfId="0" applyFont="1" applyBorder="1" applyAlignment="1">
      <alignment horizontal="center"/>
    </xf>
    <xf numFmtId="0" fontId="15" fillId="0" borderId="0" xfId="0" applyFont="1" applyAlignment="1">
      <alignment horizontal="center"/>
    </xf>
    <xf numFmtId="0" fontId="15" fillId="0" borderId="11" xfId="0" applyFont="1" applyBorder="1" applyAlignment="1">
      <alignment horizontal="center"/>
    </xf>
    <xf numFmtId="0" fontId="69" fillId="0" borderId="0" xfId="40"/>
    <xf numFmtId="0" fontId="0" fillId="10" borderId="7" xfId="0" applyFill="1" applyBorder="1" applyAlignment="1">
      <alignment horizontal="center" vertical="top" wrapText="1"/>
    </xf>
    <xf numFmtId="0" fontId="0" fillId="10" borderId="1" xfId="0" applyFill="1" applyBorder="1" applyAlignment="1">
      <alignment horizontal="center" vertical="top" wrapText="1"/>
    </xf>
    <xf numFmtId="0" fontId="0" fillId="10" borderId="8" xfId="0" applyFill="1" applyBorder="1" applyAlignment="1">
      <alignment horizontal="center" vertical="top" wrapText="1"/>
    </xf>
    <xf numFmtId="0" fontId="0" fillId="0" borderId="0" xfId="0" applyAlignment="1">
      <alignment horizontal="left" vertical="center" wrapText="1"/>
    </xf>
    <xf numFmtId="0" fontId="40" fillId="0" borderId="5" xfId="0" applyFont="1" applyBorder="1" applyAlignment="1">
      <alignment horizontal="center" vertical="top"/>
    </xf>
    <xf numFmtId="0" fontId="41" fillId="0" borderId="5" xfId="0" applyFont="1" applyBorder="1" applyAlignment="1">
      <alignment horizontal="center" vertical="top"/>
    </xf>
    <xf numFmtId="0" fontId="33" fillId="10" borderId="5" xfId="0" applyFont="1" applyFill="1" applyBorder="1" applyAlignment="1">
      <alignment horizontal="left" vertical="top" wrapText="1"/>
    </xf>
    <xf numFmtId="0" fontId="15" fillId="0" borderId="5" xfId="0" applyFont="1" applyBorder="1" applyAlignment="1">
      <alignment horizontal="center"/>
    </xf>
    <xf numFmtId="0" fontId="40" fillId="0" borderId="5" xfId="0" applyFont="1" applyBorder="1" applyAlignment="1">
      <alignment horizontal="left" vertical="top"/>
    </xf>
    <xf numFmtId="0" fontId="40" fillId="0" borderId="5" xfId="0" applyFont="1" applyBorder="1" applyAlignment="1">
      <alignment horizontal="center" vertical="top" wrapText="1"/>
    </xf>
    <xf numFmtId="0" fontId="40" fillId="0" borderId="7" xfId="0" applyFont="1" applyBorder="1" applyAlignment="1">
      <alignment horizontal="center" vertical="top"/>
    </xf>
    <xf numFmtId="0" fontId="40" fillId="0" borderId="1" xfId="0" applyFont="1" applyBorder="1" applyAlignment="1">
      <alignment horizontal="center" vertical="top"/>
    </xf>
    <xf numFmtId="0" fontId="40" fillId="0" borderId="8" xfId="0" applyFont="1" applyBorder="1" applyAlignment="1">
      <alignment horizontal="center" vertical="top"/>
    </xf>
    <xf numFmtId="0" fontId="40" fillId="0" borderId="5" xfId="0" applyFont="1" applyBorder="1" applyAlignment="1">
      <alignment horizontal="left" vertical="top" wrapText="1"/>
    </xf>
    <xf numFmtId="0" fontId="15" fillId="0" borderId="5" xfId="0" applyFont="1" applyBorder="1" applyAlignment="1">
      <alignment horizontal="center" wrapText="1"/>
    </xf>
    <xf numFmtId="0" fontId="0" fillId="0" borderId="5" xfId="0" applyBorder="1" applyAlignment="1">
      <alignment horizontal="center" vertical="center" wrapText="1"/>
    </xf>
    <xf numFmtId="0" fontId="0" fillId="0" borderId="5" xfId="0" applyBorder="1" applyAlignment="1">
      <alignment horizontal="center" vertical="center"/>
    </xf>
    <xf numFmtId="0" fontId="15" fillId="0" borderId="7" xfId="0" applyFont="1" applyBorder="1" applyAlignment="1">
      <alignment horizontal="center" vertical="top"/>
    </xf>
    <xf numFmtId="0" fontId="15" fillId="0" borderId="1" xfId="0" applyFont="1" applyBorder="1" applyAlignment="1">
      <alignment horizontal="center" vertical="top"/>
    </xf>
    <xf numFmtId="0" fontId="15" fillId="0" borderId="8" xfId="0" applyFont="1" applyBorder="1" applyAlignment="1">
      <alignment horizontal="center" vertical="top"/>
    </xf>
    <xf numFmtId="0" fontId="40" fillId="0" borderId="14" xfId="0" applyFont="1" applyBorder="1" applyAlignment="1">
      <alignment horizontal="left" vertical="top"/>
    </xf>
    <xf numFmtId="0" fontId="40" fillId="0" borderId="13" xfId="0" applyFont="1" applyBorder="1" applyAlignment="1">
      <alignment horizontal="left" vertical="top"/>
    </xf>
    <xf numFmtId="0" fontId="40" fillId="0" borderId="14" xfId="0" applyFont="1" applyBorder="1" applyAlignment="1">
      <alignment horizontal="center" vertical="top" wrapText="1"/>
    </xf>
    <xf numFmtId="0" fontId="40" fillId="0" borderId="13" xfId="0" applyFont="1" applyBorder="1" applyAlignment="1">
      <alignment horizontal="center" vertical="top" wrapText="1"/>
    </xf>
    <xf numFmtId="0" fontId="0" fillId="0" borderId="5" xfId="0" applyBorder="1" applyAlignment="1">
      <alignment horizontal="left" vertical="top" wrapText="1"/>
    </xf>
    <xf numFmtId="0" fontId="15" fillId="0" borderId="0" xfId="0" applyFont="1" applyAlignment="1">
      <alignment horizontal="center" vertical="center"/>
    </xf>
  </cellXfs>
  <cellStyles count="217">
    <cellStyle name="20% - Accent5 2" xfId="84" xr:uid="{33805F76-5E7A-4541-A5F1-F1B99FDF7E4B}"/>
    <cellStyle name="40% - Accent1 2" xfId="30" xr:uid="{1C08DB1C-1783-44E6-9288-56E504FA8FA1}"/>
    <cellStyle name="60% - Accent1 2" xfId="31" xr:uid="{125BD59D-A5B8-425A-9CC9-2F89EA35F185}"/>
    <cellStyle name="60% - Accent2 2" xfId="85" xr:uid="{14FF4506-F95B-4A52-81F3-EA2E2EBFED91}"/>
    <cellStyle name="Accent1" xfId="1" builtinId="29"/>
    <cellStyle name="Accent1 2" xfId="29" xr:uid="{8FD2EA00-8A88-40D8-9E19-D71EC90E77BD}"/>
    <cellStyle name="Bad" xfId="14" builtinId="27"/>
    <cellStyle name="Bad 2" xfId="10" xr:uid="{2B7E82F1-E1CA-4302-B431-84D2548D82A7}"/>
    <cellStyle name="Calculation" xfId="16" builtinId="22"/>
    <cellStyle name="Calculation 2" xfId="75" xr:uid="{E85E16F9-480F-4677-AA2A-26C4EBCB5A35}"/>
    <cellStyle name="Check Cell 2" xfId="27" xr:uid="{7B1E9DB5-3D00-4B80-ABF6-5A1C985E9124}"/>
    <cellStyle name="Comma" xfId="21" builtinId="3"/>
    <cellStyle name="Comma 2" xfId="5" xr:uid="{58576C0A-0C51-4ED4-840E-32BF71D6E341}"/>
    <cellStyle name="Comma 2 10" xfId="171" xr:uid="{D46CF028-F5F1-412F-8EB8-E54830C47E53}"/>
    <cellStyle name="Comma 2 2" xfId="38" xr:uid="{A2FF6F09-14E3-422B-AB27-661E2989D560}"/>
    <cellStyle name="Comma 2 2 2" xfId="73" xr:uid="{C17B45B2-2E0F-46D3-AD55-829BCA982519}"/>
    <cellStyle name="Comma 2 2 2 2" xfId="117" xr:uid="{EE2BC408-EEAB-414A-B6ED-27E69EDCCAE0}"/>
    <cellStyle name="Comma 2 2 2 2 2" xfId="195" xr:uid="{C5F5FF37-028A-45C0-8C23-320678A51F07}"/>
    <cellStyle name="Comma 2 2 2 3" xfId="156" xr:uid="{FDD13A18-99CD-4C3D-BF17-9F17F7FA5297}"/>
    <cellStyle name="Comma 2 2 2 3 2" xfId="213" xr:uid="{402AA53C-FE63-4165-891C-A9668F8D63BA}"/>
    <cellStyle name="Comma 2 2 2 4" xfId="178" xr:uid="{51E7EF3F-9D7A-40B6-853C-88F60B48A3D5}"/>
    <cellStyle name="Comma 2 2 3" xfId="58" xr:uid="{0A4C4691-5F82-4A81-8084-5DE442490EBD}"/>
    <cellStyle name="Comma 2 2 3 2" xfId="113" xr:uid="{A3DD52FE-9E7C-40C3-81F5-FD8F4B576D7A}"/>
    <cellStyle name="Comma 2 2 3 2 2" xfId="191" xr:uid="{14BA22CE-6C5A-4C0C-911A-A71529BBA557}"/>
    <cellStyle name="Comma 2 2 3 3" xfId="149" xr:uid="{278BCC50-4A5A-44FA-A548-537ED3B785CD}"/>
    <cellStyle name="Comma 2 2 3 3 2" xfId="209" xr:uid="{B4C8A5C9-A809-4384-87ED-D9C8AD7761CB}"/>
    <cellStyle name="Comma 2 2 3 4" xfId="174" xr:uid="{D9087827-C0EC-4124-B845-245684BB7D19}"/>
    <cellStyle name="Comma 2 2 4" xfId="103" xr:uid="{89EB0995-C885-4895-9821-21193514DA11}"/>
    <cellStyle name="Comma 2 2 4 2" xfId="122" xr:uid="{8A2B2E84-2B4A-4AC6-9ADE-93873A8CDC71}"/>
    <cellStyle name="Comma 2 2 4 2 2" xfId="200" xr:uid="{D58D5329-D6FD-406F-9B9C-CEDE07C24623}"/>
    <cellStyle name="Comma 2 2 4 3" xfId="183" xr:uid="{FBB8AF94-0E23-49F2-9EB2-E19BF25FB8AA}"/>
    <cellStyle name="Comma 2 3" xfId="49" xr:uid="{F2D5A670-A890-4602-A944-A85CC5F4BF03}"/>
    <cellStyle name="Comma 2 3 2" xfId="111" xr:uid="{3DB73C79-F237-4CF9-8D1C-C0DB74F9FCCC}"/>
    <cellStyle name="Comma 2 3 2 2" xfId="189" xr:uid="{20039321-39A6-4F70-B851-17A87A0C7A54}"/>
    <cellStyle name="Comma 2 3 3" xfId="6" xr:uid="{D0C87327-DF77-46D9-858C-6AC6F26EE903}"/>
    <cellStyle name="Comma 2 3 3 2" xfId="147" xr:uid="{37EB5CDE-D9A2-437F-A8DE-32428F73BA77}"/>
    <cellStyle name="Comma 2 3 3 3" xfId="207" xr:uid="{E78509DB-A16A-4E71-9B60-BA70F9799F23}"/>
    <cellStyle name="Comma 2 3 4" xfId="172" xr:uid="{336C2703-3AD8-4B06-8260-52EFC0B09DF1}"/>
    <cellStyle name="Comma 2 4" xfId="72" xr:uid="{E36454E5-D330-44DE-BC13-D210093C7370}"/>
    <cellStyle name="Comma 2 4 2" xfId="104" xr:uid="{19C7A539-BACC-4E94-8152-92C6F3DBB8CA}"/>
    <cellStyle name="Comma 2 4 2 2" xfId="123" xr:uid="{8D1B5CD7-8B1E-44E5-BA5D-4D8A18A25B0E}"/>
    <cellStyle name="Comma 2 4 2 2 2" xfId="201" xr:uid="{F774EF31-B240-47DB-829C-DA3D4561325C}"/>
    <cellStyle name="Comma 2 4 2 3" xfId="184" xr:uid="{B2ACC9A1-A442-409D-AB5D-F60D30A94182}"/>
    <cellStyle name="Comma 2 4 3" xfId="116" xr:uid="{1302F165-5B6B-4F40-AE92-9AEF79715A86}"/>
    <cellStyle name="Comma 2 4 3 2" xfId="194" xr:uid="{604559D5-DF0B-4615-BF79-9EF41073C821}"/>
    <cellStyle name="Comma 2 4 4" xfId="155" xr:uid="{0519B97B-174C-424C-9DA5-F53A8AE283D4}"/>
    <cellStyle name="Comma 2 4 4 2" xfId="212" xr:uid="{AC5B6576-5139-4DA0-BC98-2E79CDAD5C32}"/>
    <cellStyle name="Comma 2 4 5" xfId="177" xr:uid="{6004F559-B328-4551-8C0A-A2F332357722}"/>
    <cellStyle name="Comma 2 5" xfId="86" xr:uid="{61E6F161-3E87-43AC-B886-26CFE18997F9}"/>
    <cellStyle name="Comma 2 5 2" xfId="106" xr:uid="{02B57228-FD24-4A40-B56F-714022EAAC6B}"/>
    <cellStyle name="Comma 2 5 2 2" xfId="125" xr:uid="{7557A3FA-F579-4249-840C-43A675E0A787}"/>
    <cellStyle name="Comma 2 5 2 2 2" xfId="203" xr:uid="{E63084A5-5E99-4B98-A83A-1C247899CD2D}"/>
    <cellStyle name="Comma 2 5 2 3" xfId="186" xr:uid="{BD82783E-26AA-4BD5-9861-0B26638C787F}"/>
    <cellStyle name="Comma 2 5 3" xfId="120" xr:uid="{9BEF000F-A6FA-4D02-A62D-2830C3F8516A}"/>
    <cellStyle name="Comma 2 5 3 2" xfId="198" xr:uid="{A7BB4D0D-F053-43A8-B367-BF6DFD39AA04}"/>
    <cellStyle name="Comma 2 5 4" xfId="164" xr:uid="{E6BE7BFE-5355-4381-AD36-0259E57F582B}"/>
    <cellStyle name="Comma 2 5 4 2" xfId="216" xr:uid="{A6D8D6C1-299D-4390-A5D7-535B6ABBA5B6}"/>
    <cellStyle name="Comma 2 5 5" xfId="181" xr:uid="{5E2EA3F8-1CE2-4A89-9C8D-844A292A3B9F}"/>
    <cellStyle name="Comma 2 6" xfId="50" xr:uid="{E19F9070-75E4-4F16-9BCB-15FAD8A43377}"/>
    <cellStyle name="Comma 2 6 2" xfId="112" xr:uid="{420762B0-2CA5-439F-827B-660F44B8251C}"/>
    <cellStyle name="Comma 2 6 2 2" xfId="190" xr:uid="{568665D3-A5C1-4FAD-8DA5-898A9254EE03}"/>
    <cellStyle name="Comma 2 6 3" xfId="148" xr:uid="{EFDB2CF3-7FEA-427C-B502-A9CC5A0E35A3}"/>
    <cellStyle name="Comma 2 6 3 2" xfId="208" xr:uid="{2DCC93ED-3CFA-4D17-90AB-40081F2448C7}"/>
    <cellStyle name="Comma 2 6 4" xfId="173" xr:uid="{899F7512-314A-4EEE-A10E-770A9F2E12BE}"/>
    <cellStyle name="Comma 2 7" xfId="102" xr:uid="{EE8BE65B-33CF-47C3-B2E3-6DC6D11B7508}"/>
    <cellStyle name="Comma 2 7 2" xfId="121" xr:uid="{0E524D2C-E0C8-44EF-A68D-8619DFBE6A8A}"/>
    <cellStyle name="Comma 2 7 2 2" xfId="199" xr:uid="{29D31218-652D-44E4-994D-089408BB624D}"/>
    <cellStyle name="Comma 2 7 3" xfId="182" xr:uid="{B40D48F6-A4DE-4AE9-8791-CFA2E5A30F9E}"/>
    <cellStyle name="Comma 2 8" xfId="108" xr:uid="{69262B07-4DE3-4680-9068-F0679E0B8D4C}"/>
    <cellStyle name="Comma 2 8 2" xfId="187" xr:uid="{9E80EF44-AA75-476D-B8F3-108641C6C2D1}"/>
    <cellStyle name="Comma 2 9" xfId="37" xr:uid="{78A0D7F6-EB24-4319-8348-CA89D045D658}"/>
    <cellStyle name="Comma 3" xfId="43" xr:uid="{6BD5BD34-71EB-4302-8AAD-5DB59133DBE3}"/>
    <cellStyle name="Comma 3 2" xfId="70" xr:uid="{2CF11751-6B8B-46C5-849E-BD3A902313F3}"/>
    <cellStyle name="Comma 3 2 2" xfId="115" xr:uid="{27008F20-BCC6-4495-A162-8608D8A4183C}"/>
    <cellStyle name="Comma 3 2 2 2" xfId="193" xr:uid="{D049BE6B-C511-46C0-BDC4-B1A36601F53D}"/>
    <cellStyle name="Comma 3 2 3" xfId="154" xr:uid="{5E4330EA-0AB7-41CA-88A0-BF9581C29748}"/>
    <cellStyle name="Comma 3 2 3 2" xfId="211" xr:uid="{FEC6E9CD-947D-469F-8BEF-0567FD63A692}"/>
    <cellStyle name="Comma 3 2 4" xfId="176" xr:uid="{DC60C008-9503-4D8D-8DC4-C0173A61DB73}"/>
    <cellStyle name="Comma 3 3" xfId="59" xr:uid="{8026A5A6-4653-4127-96AC-E66A87CE4ACD}"/>
    <cellStyle name="Comma 3 3 2" xfId="114" xr:uid="{7D7405FF-DA40-4595-A676-6AF1B1475ED3}"/>
    <cellStyle name="Comma 3 3 2 2" xfId="192" xr:uid="{D557B1CA-FDED-4D7F-A1DE-AA4DE18FBCF3}"/>
    <cellStyle name="Comma 3 3 3" xfId="150" xr:uid="{F6FD7355-622F-442A-8149-F0B88270EDC6}"/>
    <cellStyle name="Comma 3 3 3 2" xfId="210" xr:uid="{33B6AB93-7C05-4D5B-8654-1A8E31B74E4F}"/>
    <cellStyle name="Comma 3 3 4" xfId="175" xr:uid="{D104906A-9927-4617-90BA-27C3C1F64DC5}"/>
    <cellStyle name="Comma 3 4" xfId="110" xr:uid="{F008A139-455C-4C7A-952C-922F43A55A98}"/>
    <cellStyle name="Comma 3 4 2" xfId="188" xr:uid="{BC2D4647-232E-46A0-B2C8-16840D06CE9B}"/>
    <cellStyle name="Comma 3 5" xfId="138" xr:uid="{C5ED0F2E-266D-42B7-BD15-3035879F8EE2}"/>
    <cellStyle name="Comma 3 5 2" xfId="205" xr:uid="{FE8B62CF-9569-41BA-998B-5F16F177F446}"/>
    <cellStyle name="Comma 4" xfId="83" xr:uid="{10F38EA2-42AE-4FDA-9673-FC6D85D9EFC3}"/>
    <cellStyle name="Comma 4 2" xfId="119" xr:uid="{DE1416A7-0245-47B0-8D65-14F1A5D0BC94}"/>
    <cellStyle name="Comma 4 2 2" xfId="197" xr:uid="{DFCBE52B-8069-4C8A-8AFB-B8AABBB04C23}"/>
    <cellStyle name="Comma 4 3" xfId="163" xr:uid="{8B0E4422-8FC4-4104-B362-A2416D8D758B}"/>
    <cellStyle name="Comma 4 3 2" xfId="215" xr:uid="{AD02FCA5-9372-400E-A84D-C0859EB0C7CA}"/>
    <cellStyle name="Comma 4 4" xfId="180" xr:uid="{F144827B-648C-4FAA-AB1C-88B06CC9264D}"/>
    <cellStyle name="Comma 5" xfId="79" xr:uid="{FF02AB62-1023-43BF-9E50-BC4E79430180}"/>
    <cellStyle name="Comma 5 2" xfId="118" xr:uid="{AE297F21-D1B4-47D4-8D5B-58417FD5224F}"/>
    <cellStyle name="Comma 5 2 2" xfId="196" xr:uid="{569AC155-A1BE-443D-9BFB-514890DFC395}"/>
    <cellStyle name="Comma 5 3" xfId="145" xr:uid="{7D849749-5F1E-4C67-BE3B-5787FDD0B826}"/>
    <cellStyle name="Comma 5 3 2" xfId="206" xr:uid="{1AC6459E-C30C-4D15-AD6C-DC65A41B6696}"/>
    <cellStyle name="Comma 5 4" xfId="179" xr:uid="{A7178FF7-A86E-452E-9190-5F1D2561A406}"/>
    <cellStyle name="Comma 6" xfId="105" xr:uid="{EB3C50F9-F561-4FBF-A3D0-37F14F4F8F09}"/>
    <cellStyle name="Comma 6 2" xfId="124" xr:uid="{777DC5DF-7F9F-4085-AFF4-226196B50BFF}"/>
    <cellStyle name="Comma 6 2 2" xfId="202" xr:uid="{F4875D08-1B72-43FE-A9A4-29445F1153E5}"/>
    <cellStyle name="Comma 6 3" xfId="158" xr:uid="{6F10EE20-62D2-4A33-B8A6-D11CA1851089}"/>
    <cellStyle name="Comma 6 3 2" xfId="214" xr:uid="{2EDCF562-2F5D-4832-9356-E218EB5665C3}"/>
    <cellStyle name="Comma 6 4" xfId="185" xr:uid="{BEC614AC-5B54-4BCF-B3D5-9BDC1F7BFE23}"/>
    <cellStyle name="Comma 7" xfId="130" xr:uid="{4A8A1E53-551B-4B39-BA34-F158E7B91DA8}"/>
    <cellStyle name="Comma 7 2" xfId="204" xr:uid="{E1B94189-121F-42E1-8275-712F24171F91}"/>
    <cellStyle name="Comma 8" xfId="23" xr:uid="{BBE82A4E-F1B4-4709-AF32-2A7037406A16}"/>
    <cellStyle name="Explanatory Text 2" xfId="26" xr:uid="{FF42F5B3-E838-4D67-AE0E-3127C5504736}"/>
    <cellStyle name="External" xfId="11" xr:uid="{61D4E690-4B03-4BE6-B587-F5BCC7DB9A68}"/>
    <cellStyle name="External 2" xfId="144" xr:uid="{C7361B1F-EC80-4F17-932C-042084BA8D0F}"/>
    <cellStyle name="Heading 1" xfId="3" builtinId="16"/>
    <cellStyle name="Heading 2 2 2" xfId="20" xr:uid="{2A544DCC-E3F9-4989-9F1B-D417E388C522}"/>
    <cellStyle name="Heading 4" xfId="13" builtinId="19"/>
    <cellStyle name="Hyperlink 2" xfId="7" xr:uid="{95700465-0011-4282-BD10-6B0072F5725C}"/>
    <cellStyle name="Hyperlink 2 2" xfId="71" xr:uid="{99A82BF8-E891-461D-8387-9AFCE87FA37B}"/>
    <cellStyle name="Hyperlink 2 2 2" xfId="77" xr:uid="{1E0C2E2E-3A75-4DA8-A50A-6F8E8B48607A}"/>
    <cellStyle name="Hyperlink 2 3" xfId="54" xr:uid="{9B4200B3-7EC0-43C5-8C3F-9FD594591AE3}"/>
    <cellStyle name="Hyperlink 2 4" xfId="36" xr:uid="{60B5CECB-AA28-4CD6-B0B6-2A098797E664}"/>
    <cellStyle name="Hyperlink 3" xfId="61" xr:uid="{67161F7F-8856-4CBD-8087-1CD86D1B1E80}"/>
    <cellStyle name="Hyperlink 3 2" xfId="133" xr:uid="{10C4C9CC-B9BC-4D30-B784-63CDFF16CA1B}"/>
    <cellStyle name="Hyperlink 4" xfId="143" xr:uid="{2C6556E0-9F0D-46D7-BE56-CC5B85AF4B87}"/>
    <cellStyle name="Hyperlink 5" xfId="151" xr:uid="{73805707-A3CC-4476-92CB-3CAE1A57AF48}"/>
    <cellStyle name="Input" xfId="15" builtinId="20"/>
    <cellStyle name="Input 2" xfId="76" xr:uid="{FE07278F-285E-42CD-A9F0-19C19A14946D}"/>
    <cellStyle name="IPCC" xfId="35" xr:uid="{A631483A-F12B-44F9-A532-B2B57108173F}"/>
    <cellStyle name="Linked" xfId="146" xr:uid="{C474FDA0-C1B1-4EBD-8519-DB6BCA76D984}"/>
    <cellStyle name="Neutral 2" xfId="87" xr:uid="{EFBDC963-CC6B-4135-AB29-78D1EFEBCD97}"/>
    <cellStyle name="Normal" xfId="0" builtinId="0"/>
    <cellStyle name="Normal 10" xfId="46" xr:uid="{6FBCB07E-1A53-4E46-A306-53B677A00D85}"/>
    <cellStyle name="Normal 10 4" xfId="53" xr:uid="{82618735-9F70-4845-92A3-1C536E63B1B4}"/>
    <cellStyle name="Normal 11" xfId="42" xr:uid="{DDAC4C9A-E129-4CFD-9B01-05BD4B868C36}"/>
    <cellStyle name="Normal 12" xfId="41" xr:uid="{68B2AEB8-7654-4000-95BC-B8A96C2AD82B}"/>
    <cellStyle name="Normal 12 2" xfId="64" xr:uid="{E27D7BE1-CCD1-4BD9-8206-3AFD8C3353F6}"/>
    <cellStyle name="Normal 13" xfId="19" xr:uid="{A6D5C517-DF70-4B90-BE27-87A6E792C544}"/>
    <cellStyle name="Normal 13 2" xfId="45" xr:uid="{460D1D99-02B0-4A1A-BC82-1C8E9420DFA7}"/>
    <cellStyle name="Normal 14" xfId="169" xr:uid="{A1778CB8-0D55-4FA3-8526-314297442F9B}"/>
    <cellStyle name="Normal 2" xfId="2" xr:uid="{7087FE7C-195B-45A9-A3C0-D540E83C550D}"/>
    <cellStyle name="Normal 2 2" xfId="12" xr:uid="{D62F4AFB-78C5-40B1-A976-0BE57D75CB17}"/>
    <cellStyle name="Normal 2 2 2" xfId="17" xr:uid="{9A7F23E3-ACAE-451A-BD17-948057160186}"/>
    <cellStyle name="Normal 2 2 2 2" xfId="52" xr:uid="{23B0F09E-97C7-4C7F-BF18-B4C0E0D9ABBB}"/>
    <cellStyle name="Normal 2 2 3" xfId="62" xr:uid="{7C7B6E1A-B388-4E8B-85FB-449040AD2743}"/>
    <cellStyle name="Normal 2 2 4" xfId="47" xr:uid="{7167A5AA-6C60-48A5-BB55-01CFBFDE3AA9}"/>
    <cellStyle name="Normal 2 3" xfId="57" xr:uid="{822FA27D-6E98-4D37-80AA-FA77A35BA278}"/>
    <cellStyle name="Normal 2 3 2" xfId="18" xr:uid="{623A7E24-7559-445C-A0ED-F85091FA2923}"/>
    <cellStyle name="Normal 2 3 2 2" xfId="74" xr:uid="{37ED1A76-C5DA-4B8F-83C7-58F0D94F0814}"/>
    <cellStyle name="Normal 2 4" xfId="126" xr:uid="{0DE1595B-2171-41B4-9878-8A5FC0FF1517}"/>
    <cellStyle name="Normal 2 5" xfId="24" xr:uid="{5FC4D83F-DED0-43BE-BC9D-F4409EF754E3}"/>
    <cellStyle name="Normal 3" xfId="25" xr:uid="{BAAC4885-9149-4D6A-A63C-396D6F84ADCD}"/>
    <cellStyle name="Normal 3 2" xfId="63" xr:uid="{9B9A2378-C660-4311-AD8C-F68A93B75D87}"/>
    <cellStyle name="Normal 3 2 2" xfId="152" xr:uid="{3F795BA7-1547-4EB4-9DF1-CA5A899147D3}"/>
    <cellStyle name="Normal 3 2 3" xfId="135" xr:uid="{D85B7E56-CAEC-403F-9E18-62891356FFB3}"/>
    <cellStyle name="Normal 3 3" xfId="48" xr:uid="{804FB6EF-878D-4BB5-A745-8AEE36330B42}"/>
    <cellStyle name="Normal 3 4" xfId="128" xr:uid="{246A6172-B716-43C6-A653-81D080B22039}"/>
    <cellStyle name="Normal 4" xfId="40" xr:uid="{21E26D88-6D42-489D-A9F6-FCBD66D686FD}"/>
    <cellStyle name="Normal 4 2" xfId="89" xr:uid="{D839B40D-08A0-45A8-8083-D72259CADA52}"/>
    <cellStyle name="Normal 4 2 2" xfId="165" xr:uid="{01A2FD1A-08BC-4201-A47C-6094A7A2ECB1}"/>
    <cellStyle name="Normal 4 2 3" xfId="139" xr:uid="{5F600239-DE3C-417C-A5B4-DA93506CA9D1}"/>
    <cellStyle name="Normal 4 3" xfId="69" xr:uid="{BE4C051C-15E8-40E7-AAB2-68DF507ECD77}"/>
    <cellStyle name="Normal 4 4" xfId="88" xr:uid="{8102EF62-BB6D-4F80-A83E-5106B5108FE8}"/>
    <cellStyle name="Normal 4 5" xfId="55" xr:uid="{89EC55B2-C921-4A9E-9901-40E0B8CDD161}"/>
    <cellStyle name="Normal 4 6" xfId="109" xr:uid="{E4571CC0-8E4F-44F8-89B3-93AACDDF2F11}"/>
    <cellStyle name="Normal 5" xfId="39" xr:uid="{328FE0D2-76FC-4363-887C-14CB80088B16}"/>
    <cellStyle name="Normal 5 2" xfId="66" xr:uid="{D2001352-638A-4E07-A048-A36A59B03FC1}"/>
    <cellStyle name="Normal 5 3" xfId="131" xr:uid="{0102389B-DCD7-4419-B0F5-71DDD2A812A6}"/>
    <cellStyle name="Normal 6" xfId="65" xr:uid="{2AF1D495-95B7-44FB-93CD-925A8BC9FD95}"/>
    <cellStyle name="Normal 6 2" xfId="153" xr:uid="{42FC6BC5-B277-4D9A-BD6E-97EF773499CF}"/>
    <cellStyle name="Normal 6 3" xfId="132" xr:uid="{420241F7-DAB2-4AA7-893F-7E8A7921F351}"/>
    <cellStyle name="Normal 7" xfId="32" xr:uid="{AE7186B4-CEAE-431A-A257-C8AE95636008}"/>
    <cellStyle name="Normal 7 2" xfId="67" xr:uid="{22E713D0-1C89-4E68-9C3B-7F3DBB80D9CD}"/>
    <cellStyle name="Normal 7 3" xfId="142" xr:uid="{95DF13B9-E0BC-4E50-8621-C33E06DEE07B}"/>
    <cellStyle name="Normal 7 4 2" xfId="4" xr:uid="{291E1FAD-22B5-40BE-A770-6F8D1B1BEAC4}"/>
    <cellStyle name="Normal 8" xfId="33" xr:uid="{20486B0F-832D-42B0-A082-CFFA02E972B7}"/>
    <cellStyle name="Normal 8 2" xfId="90" xr:uid="{01A55840-239F-455C-95A4-9DC3C17C81DF}"/>
    <cellStyle name="Normal 8 2 2" xfId="140" xr:uid="{FB94EF80-71BF-414E-AD00-FD37F9466850}"/>
    <cellStyle name="Normal 8 2 3" xfId="166" xr:uid="{4E1C08FA-281F-4730-8B4A-2F9E753E3A4D}"/>
    <cellStyle name="Normal 8 3" xfId="137" xr:uid="{BCAF6B57-4DAA-4205-A1BB-26917723B1A9}"/>
    <cellStyle name="Normal 8 4" xfId="159" xr:uid="{4C482B48-9FC6-4949-896A-ABB6ECF1246C}"/>
    <cellStyle name="Normal 9" xfId="81" xr:uid="{E0E3CE1C-25F0-426A-B9E3-560205209081}"/>
    <cellStyle name="Normal 9 2" xfId="91" xr:uid="{89726ED4-3625-440C-A977-D9DC881BC550}"/>
    <cellStyle name="Normal 9 3" xfId="161" xr:uid="{137BC1D6-9D54-4186-85A9-05EAD605A921}"/>
    <cellStyle name="Normale_B2020" xfId="92" xr:uid="{CB9CE11B-D2E9-4013-9F17-B3621B1B3C11}"/>
    <cellStyle name="Output" xfId="170" builtinId="21"/>
    <cellStyle name="Percent" xfId="22" builtinId="5"/>
    <cellStyle name="Percent 2" xfId="8" xr:uid="{6DB0C260-086B-4273-A468-7A2D277710EB}"/>
    <cellStyle name="Percent 2 2" xfId="9" xr:uid="{F0427A31-2038-4062-A6A7-2D8014DAEBC2}"/>
    <cellStyle name="Percent 2 2 2" xfId="60" xr:uid="{65595DF9-13E3-4213-81CD-58DF0284DBEB}"/>
    <cellStyle name="Percent 2 2 3" xfId="34" xr:uid="{9E42BA6A-7F7F-480F-9119-29154D4F9008}"/>
    <cellStyle name="Percent 2 3" xfId="68" xr:uid="{8BB8A36D-C824-4B75-B965-582EFDD192EC}"/>
    <cellStyle name="Percent 2 4" xfId="93" xr:uid="{DFCEC7F0-C75E-48F7-8E4A-89BFA61E8A12}"/>
    <cellStyle name="Percent 2 5" xfId="56" xr:uid="{B2B6CD12-1B49-4D82-8EE7-9033289854DF}"/>
    <cellStyle name="Percent 2 6" xfId="127" xr:uid="{084384A0-7BA0-4EC5-9681-ECF4433761EB}"/>
    <cellStyle name="Percent 2 7" xfId="28" xr:uid="{88899132-163C-4217-8500-706C57EA4986}"/>
    <cellStyle name="Percent 3" xfId="44" xr:uid="{20EE7D02-01B9-496D-A3B2-D5CF8F0A358B}"/>
    <cellStyle name="Percent 3 2" xfId="94" xr:uid="{945AB5A8-A919-449B-825E-C801A3E00795}"/>
    <cellStyle name="Percent 3 2 2" xfId="167" xr:uid="{CA6722D3-5879-413D-95C3-E50D53A58FCA}"/>
    <cellStyle name="Percent 3 2 3" xfId="136" xr:uid="{49B40FE2-9258-49EC-829D-7A65CD6C5062}"/>
    <cellStyle name="Percent 3 3" xfId="95" xr:uid="{3A675FEC-FF71-4544-803D-D647E3903E48}"/>
    <cellStyle name="Percent 3 4" xfId="51" xr:uid="{AC76AA2B-ECCB-4857-8D88-2CF285EA40C4}"/>
    <cellStyle name="Percent 3 5" xfId="129" xr:uid="{381DFEC3-2E94-4187-8F56-21A17CD92161}"/>
    <cellStyle name="Percent 4" xfId="80" xr:uid="{CDF303C4-8D5C-43B0-BB0E-09CDE5A64904}"/>
    <cellStyle name="Percent 4 2" xfId="97" xr:uid="{ACB0FFE3-5C73-459A-866F-EE3EDCA54C1B}"/>
    <cellStyle name="Percent 4 2 2" xfId="168" xr:uid="{73B8D703-AF78-4674-A5F5-46953910020C}"/>
    <cellStyle name="Percent 4 2 3" xfId="141" xr:uid="{F0141C94-9583-4C6C-9D60-96D6480C15FD}"/>
    <cellStyle name="Percent 4 3" xfId="98" xr:uid="{0514E57E-C7C7-4D60-8BC7-FBB0180CC05D}"/>
    <cellStyle name="Percent 4 4" xfId="96" xr:uid="{9383667F-E9BE-46D8-A439-A022A44A26E2}"/>
    <cellStyle name="Percent 4 5" xfId="160" xr:uid="{FF40A006-E28D-4E45-B836-50D005790A53}"/>
    <cellStyle name="Percent 5" xfId="82" xr:uid="{57163E44-C73C-470C-86FA-24AF6890B2EB}"/>
    <cellStyle name="Percent 5 2" xfId="99" xr:uid="{92EBE48A-2168-4DD0-9318-587ACDB00C4A}"/>
    <cellStyle name="Percent 5 3" xfId="162" xr:uid="{9597BAF5-BFC3-48EE-A9E3-B960B2EAF299}"/>
    <cellStyle name="Percent 5 4" xfId="134" xr:uid="{95542146-FDAF-436F-8369-205509E0B802}"/>
    <cellStyle name="Percent 6" xfId="100" xr:uid="{EE0BAA64-C8B4-498C-A14C-77F65E704CBE}"/>
    <cellStyle name="Percent 7" xfId="78" xr:uid="{DB7E9958-3925-40CC-AD29-D63B041C3159}"/>
    <cellStyle name="Percent 7 2" xfId="107" xr:uid="{900740BE-951E-4A2F-9E49-D40670C9C796}"/>
    <cellStyle name="Percent 8" xfId="157" xr:uid="{0E83EE83-07C9-4329-A6BB-CD3FDEA2859A}"/>
    <cellStyle name="Standard_Sce_D_Extraction" xfId="101" xr:uid="{29F06C57-AD48-4FD3-8D86-C8D52C34A16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8E52E708-4E27-48E4-8564-45F1F347FAFD}">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forward val="1000"/>
            <c:intercept val="0"/>
            <c:dispRSqr val="1"/>
            <c:dispEq val="1"/>
            <c:trendlineLbl>
              <c:layout>
                <c:manualLayout>
                  <c:x val="-0.31718873144435961"/>
                  <c:y val="-9.815190953617825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1"/>
                </a:solidFill>
                <a:prstDash val="sysDot"/>
              </a:ln>
              <a:effectLst/>
            </c:spPr>
            <c:trendlineType val="log"/>
            <c:forward val="1000"/>
            <c:dispRSqr val="1"/>
            <c:dispEq val="1"/>
            <c:trendlineLbl>
              <c:layout>
                <c:manualLayout>
                  <c:x val="-0.48806133663755202"/>
                  <c:y val="-0.235586211778307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'Ahjum HGN storage sheet'!$C$118:$G$118</c:f>
              <c:numCache>
                <c:formatCode>General</c:formatCode>
                <c:ptCount val="5"/>
                <c:pt idx="0">
                  <c:v>20</c:v>
                </c:pt>
                <c:pt idx="1">
                  <c:v>350</c:v>
                </c:pt>
                <c:pt idx="2">
                  <c:v>350</c:v>
                </c:pt>
                <c:pt idx="3">
                  <c:v>700</c:v>
                </c:pt>
                <c:pt idx="4">
                  <c:v>700</c:v>
                </c:pt>
              </c:numCache>
            </c:numRef>
          </c:xVal>
          <c:yVal>
            <c:numRef>
              <c:f>'Ahjum HGN storage sheet'!$C$119:$G$119</c:f>
              <c:numCache>
                <c:formatCode>General</c:formatCode>
                <c:ptCount val="5"/>
                <c:pt idx="0">
                  <c:v>1.02</c:v>
                </c:pt>
                <c:pt idx="1">
                  <c:v>2</c:v>
                </c:pt>
                <c:pt idx="2">
                  <c:v>2.2000000000000002</c:v>
                </c:pt>
                <c:pt idx="3">
                  <c:v>2.9</c:v>
                </c:pt>
                <c:pt idx="4">
                  <c:v>3.2</c:v>
                </c:pt>
              </c:numCache>
            </c:numRef>
          </c:yVal>
          <c:smooth val="0"/>
          <c:extLst>
            <c:ext xmlns:c16="http://schemas.microsoft.com/office/drawing/2014/chart" uri="{C3380CC4-5D6E-409C-BE32-E72D297353CC}">
              <c16:uniqueId val="{00000002-8B2B-4A6A-84D7-23E72A05EC43}"/>
            </c:ext>
          </c:extLst>
        </c:ser>
        <c:dLbls>
          <c:showLegendKey val="0"/>
          <c:showVal val="0"/>
          <c:showCatName val="0"/>
          <c:showSerName val="0"/>
          <c:showPercent val="0"/>
          <c:showBubbleSize val="0"/>
        </c:dLbls>
        <c:axId val="191170799"/>
        <c:axId val="191169135"/>
      </c:scatterChart>
      <c:valAx>
        <c:axId val="1911707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69135"/>
        <c:crosses val="autoZero"/>
        <c:crossBetween val="midCat"/>
      </c:valAx>
      <c:valAx>
        <c:axId val="191169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kWh/kg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7079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'Ahjum HGN storage sheet'!$B$3</c:f>
          <c:strCache>
            <c:ptCount val="1"/>
            <c:pt idx="0">
              <c:v>NCAP_COST</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'Ahjum HGN storage sheet'!$F$2:$J$2</c:f>
              <c:numCache>
                <c:formatCode>General</c:formatCode>
                <c:ptCount val="5"/>
                <c:pt idx="0">
                  <c:v>2020</c:v>
                </c:pt>
                <c:pt idx="1">
                  <c:v>2030</c:v>
                </c:pt>
                <c:pt idx="2">
                  <c:v>2035</c:v>
                </c:pt>
                <c:pt idx="3">
                  <c:v>2040</c:v>
                </c:pt>
                <c:pt idx="4">
                  <c:v>2050</c:v>
                </c:pt>
              </c:numCache>
            </c:numRef>
          </c:xVal>
          <c:yVal>
            <c:numRef>
              <c:f>'Ahjum HGN storage sheet'!$F$3:$J$3</c:f>
              <c:numCache>
                <c:formatCode>0.00</c:formatCode>
                <c:ptCount val="5"/>
                <c:pt idx="0" formatCode="0">
                  <c:v>46896.125174280474</c:v>
                </c:pt>
                <c:pt idx="1">
                  <c:v>43674.479600333063</c:v>
                </c:pt>
                <c:pt idx="2">
                  <c:v>32512.019553597809</c:v>
                </c:pt>
                <c:pt idx="3" formatCode="0">
                  <c:v>28141.935483870966</c:v>
                </c:pt>
                <c:pt idx="4">
                  <c:v>28141.935483870966</c:v>
                </c:pt>
              </c:numCache>
            </c:numRef>
          </c:yVal>
          <c:smooth val="0"/>
          <c:extLst>
            <c:ext xmlns:c16="http://schemas.microsoft.com/office/drawing/2014/chart" uri="{C3380CC4-5D6E-409C-BE32-E72D297353CC}">
              <c16:uniqueId val="{00000000-3E15-4E47-99B2-18E7C47A031E}"/>
            </c:ext>
          </c:extLst>
        </c:ser>
        <c:dLbls>
          <c:showLegendKey val="0"/>
          <c:showVal val="0"/>
          <c:showCatName val="0"/>
          <c:showSerName val="0"/>
          <c:showPercent val="0"/>
          <c:showBubbleSize val="0"/>
        </c:dLbls>
        <c:axId val="413325935"/>
        <c:axId val="413331759"/>
      </c:scatterChart>
      <c:valAx>
        <c:axId val="4133259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331759"/>
        <c:crosses val="autoZero"/>
        <c:crossBetween val="midCat"/>
      </c:valAx>
      <c:valAx>
        <c:axId val="4133317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3259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'Ahjum HGN sheet'!$C$14</c:f>
          <c:strCache>
            <c:ptCount val="1"/>
            <c:pt idx="0">
              <c:v>Electrical Efficiency (LHV)</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forward val="15"/>
            <c:dispRSqr val="1"/>
            <c:dispEq val="1"/>
            <c:trendlineLbl>
              <c:layout>
                <c:manualLayout>
                  <c:x val="8.2934437882764653E-2"/>
                  <c:y val="0.17576190476190476"/>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rendlineLbl>
          </c:trendline>
          <c:xVal>
            <c:numRef>
              <c:f>'Ahjum HGN sheet'!$F$5:$H$5</c:f>
              <c:numCache>
                <c:formatCode>General</c:formatCode>
                <c:ptCount val="3"/>
                <c:pt idx="0">
                  <c:v>2020</c:v>
                </c:pt>
                <c:pt idx="1">
                  <c:v>2030</c:v>
                </c:pt>
                <c:pt idx="2">
                  <c:v>2035</c:v>
                </c:pt>
              </c:numCache>
            </c:numRef>
          </c:xVal>
          <c:yVal>
            <c:numRef>
              <c:f>'Ahjum HGN sheet'!$F$14:$H$14</c:f>
              <c:numCache>
                <c:formatCode>0.00</c:formatCode>
                <c:ptCount val="3"/>
                <c:pt idx="0">
                  <c:v>0.57999999999999996</c:v>
                </c:pt>
                <c:pt idx="1">
                  <c:v>0.65500000000000003</c:v>
                </c:pt>
                <c:pt idx="2">
                  <c:v>0.70499999999999996</c:v>
                </c:pt>
              </c:numCache>
            </c:numRef>
          </c:yVal>
          <c:smooth val="0"/>
          <c:extLst>
            <c:ext xmlns:c16="http://schemas.microsoft.com/office/drawing/2014/chart" uri="{C3380CC4-5D6E-409C-BE32-E72D297353CC}">
              <c16:uniqueId val="{00000001-D2EC-4D12-BA08-C5678137DE93}"/>
            </c:ext>
          </c:extLst>
        </c:ser>
        <c:dLbls>
          <c:showLegendKey val="0"/>
          <c:showVal val="0"/>
          <c:showCatName val="0"/>
          <c:showSerName val="0"/>
          <c:showPercent val="0"/>
          <c:showBubbleSize val="0"/>
        </c:dLbls>
        <c:axId val="622199632"/>
        <c:axId val="622200024"/>
      </c:scatterChart>
      <c:valAx>
        <c:axId val="622199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200024"/>
        <c:crosses val="autoZero"/>
        <c:crossBetween val="midCat"/>
      </c:valAx>
      <c:valAx>
        <c:axId val="6222000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1996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'Ahjum HGN sheet'!$C$10</c:f>
          <c:strCache>
            <c:ptCount val="1"/>
            <c:pt idx="0">
              <c:v>Tlife</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forward val="15"/>
            <c:dispRSqr val="1"/>
            <c:dispEq val="1"/>
            <c:trendlineLbl>
              <c:layout>
                <c:manualLayout>
                  <c:x val="8.2934437882764653E-2"/>
                  <c:y val="0.17576190476190476"/>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rendlineLbl>
          </c:trendline>
          <c:xVal>
            <c:numRef>
              <c:f>'Ahjum HGN sheet'!$F$5:$H$5</c:f>
              <c:numCache>
                <c:formatCode>General</c:formatCode>
                <c:ptCount val="3"/>
                <c:pt idx="0">
                  <c:v>2020</c:v>
                </c:pt>
                <c:pt idx="1">
                  <c:v>2030</c:v>
                </c:pt>
                <c:pt idx="2">
                  <c:v>2035</c:v>
                </c:pt>
              </c:numCache>
            </c:numRef>
          </c:xVal>
          <c:yVal>
            <c:numRef>
              <c:f>'Ahjum HGN sheet'!$F$10:$H$10</c:f>
              <c:numCache>
                <c:formatCode>0</c:formatCode>
                <c:ptCount val="3"/>
                <c:pt idx="0">
                  <c:v>7.6103500761035017</c:v>
                </c:pt>
                <c:pt idx="1">
                  <c:v>9.512937595129376</c:v>
                </c:pt>
                <c:pt idx="2">
                  <c:v>15.854895991882291</c:v>
                </c:pt>
              </c:numCache>
            </c:numRef>
          </c:yVal>
          <c:smooth val="0"/>
          <c:extLst>
            <c:ext xmlns:c16="http://schemas.microsoft.com/office/drawing/2014/chart" uri="{C3380CC4-5D6E-409C-BE32-E72D297353CC}">
              <c16:uniqueId val="{00000001-0302-400B-AB95-02713BB2B056}"/>
            </c:ext>
          </c:extLst>
        </c:ser>
        <c:dLbls>
          <c:showLegendKey val="0"/>
          <c:showVal val="0"/>
          <c:showCatName val="0"/>
          <c:showSerName val="0"/>
          <c:showPercent val="0"/>
          <c:showBubbleSize val="0"/>
        </c:dLbls>
        <c:axId val="622201984"/>
        <c:axId val="622202376"/>
      </c:scatterChart>
      <c:valAx>
        <c:axId val="622201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202376"/>
        <c:crosses val="autoZero"/>
        <c:crossBetween val="midCat"/>
      </c:valAx>
      <c:valAx>
        <c:axId val="6222023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2019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'Ahjum HGN sheet'!$C$14</c:f>
          <c:strCache>
            <c:ptCount val="1"/>
            <c:pt idx="0">
              <c:v>Electrical Efficiency (LHV)</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5272965879265091"/>
                  <c:y val="-0.2428957630296212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'Ahjum HGN sheet'!$F$5:$H$5</c:f>
              <c:numCache>
                <c:formatCode>General</c:formatCode>
                <c:ptCount val="3"/>
                <c:pt idx="0">
                  <c:v>2020</c:v>
                </c:pt>
                <c:pt idx="1">
                  <c:v>2030</c:v>
                </c:pt>
                <c:pt idx="2">
                  <c:v>2035</c:v>
                </c:pt>
              </c:numCache>
            </c:numRef>
          </c:xVal>
          <c:yVal>
            <c:numRef>
              <c:f>'Ahjum HGN sheet'!$F$15:$H$15</c:f>
              <c:numCache>
                <c:formatCode>0.00</c:formatCode>
                <c:ptCount val="3"/>
                <c:pt idx="0">
                  <c:v>0.66500000000000004</c:v>
                </c:pt>
                <c:pt idx="1">
                  <c:v>0.68</c:v>
                </c:pt>
                <c:pt idx="2">
                  <c:v>0.75</c:v>
                </c:pt>
              </c:numCache>
            </c:numRef>
          </c:yVal>
          <c:smooth val="0"/>
          <c:extLst>
            <c:ext xmlns:c16="http://schemas.microsoft.com/office/drawing/2014/chart" uri="{C3380CC4-5D6E-409C-BE32-E72D297353CC}">
              <c16:uniqueId val="{00000001-7C88-4AE5-B767-565D161912AB}"/>
            </c:ext>
          </c:extLst>
        </c:ser>
        <c:dLbls>
          <c:showLegendKey val="0"/>
          <c:showVal val="0"/>
          <c:showCatName val="0"/>
          <c:showSerName val="0"/>
          <c:showPercent val="0"/>
          <c:showBubbleSize val="0"/>
        </c:dLbls>
        <c:axId val="622199632"/>
        <c:axId val="622200024"/>
      </c:scatterChart>
      <c:valAx>
        <c:axId val="622199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200024"/>
        <c:crosses val="autoZero"/>
        <c:crossBetween val="midCat"/>
      </c:valAx>
      <c:valAx>
        <c:axId val="6222000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1996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'Ahjum HGN sheet'!$B$6</c:f>
          <c:strCache>
            <c:ptCount val="1"/>
            <c:pt idx="0">
              <c:v>NCAP_COST</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'Ahjum HGN sheet'!$A$6</c:f>
              <c:strCache>
                <c:ptCount val="1"/>
                <c:pt idx="0">
                  <c:v>UELEP1HGN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'Ahjum HGN sheet'!$F$5:$J$5</c:f>
              <c:numCache>
                <c:formatCode>General</c:formatCode>
                <c:ptCount val="5"/>
                <c:pt idx="0">
                  <c:v>2020</c:v>
                </c:pt>
                <c:pt idx="1">
                  <c:v>2030</c:v>
                </c:pt>
                <c:pt idx="2">
                  <c:v>2035</c:v>
                </c:pt>
                <c:pt idx="3">
                  <c:v>2040</c:v>
                </c:pt>
                <c:pt idx="4">
                  <c:v>2050</c:v>
                </c:pt>
              </c:numCache>
            </c:numRef>
          </c:xVal>
          <c:yVal>
            <c:numRef>
              <c:f>'Ahjum HGN sheet'!$F$6:$J$6</c:f>
              <c:numCache>
                <c:formatCode>0</c:formatCode>
                <c:ptCount val="5"/>
                <c:pt idx="0">
                  <c:v>19642.016806722688</c:v>
                </c:pt>
                <c:pt idx="1">
                  <c:v>13546.218487394957</c:v>
                </c:pt>
                <c:pt idx="2">
                  <c:v>7450.4201680672268</c:v>
                </c:pt>
                <c:pt idx="3">
                  <c:v>6271.0466004583659</c:v>
                </c:pt>
                <c:pt idx="4">
                  <c:v>5091.6730328495041</c:v>
                </c:pt>
              </c:numCache>
            </c:numRef>
          </c:yVal>
          <c:smooth val="0"/>
          <c:extLst>
            <c:ext xmlns:c16="http://schemas.microsoft.com/office/drawing/2014/chart" uri="{C3380CC4-5D6E-409C-BE32-E72D297353CC}">
              <c16:uniqueId val="{00000000-40CF-4135-B9F3-271D7B542C3E}"/>
            </c:ext>
          </c:extLst>
        </c:ser>
        <c:ser>
          <c:idx val="1"/>
          <c:order val="1"/>
          <c:tx>
            <c:strRef>
              <c:f>'Ahjum HGN sheet'!$A$7</c:f>
              <c:strCache>
                <c:ptCount val="1"/>
                <c:pt idx="0">
                  <c:v>UELEA1HGN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'Ahjum HGN sheet'!$F$5:$J$5</c:f>
              <c:numCache>
                <c:formatCode>General</c:formatCode>
                <c:ptCount val="5"/>
                <c:pt idx="0">
                  <c:v>2020</c:v>
                </c:pt>
                <c:pt idx="1">
                  <c:v>2030</c:v>
                </c:pt>
                <c:pt idx="2">
                  <c:v>2035</c:v>
                </c:pt>
                <c:pt idx="3">
                  <c:v>2040</c:v>
                </c:pt>
                <c:pt idx="4">
                  <c:v>2050</c:v>
                </c:pt>
              </c:numCache>
            </c:numRef>
          </c:xVal>
          <c:yVal>
            <c:numRef>
              <c:f>'Ahjum HGN sheet'!$F$7:$J$7</c:f>
              <c:numCache>
                <c:formatCode>0</c:formatCode>
                <c:ptCount val="5"/>
                <c:pt idx="0">
                  <c:v>12868.90756302521</c:v>
                </c:pt>
                <c:pt idx="1">
                  <c:v>9482.3529411764703</c:v>
                </c:pt>
                <c:pt idx="2">
                  <c:v>6095.7983193277314</c:v>
                </c:pt>
                <c:pt idx="3">
                  <c:v>4856.9561157796461</c:v>
                </c:pt>
                <c:pt idx="4">
                  <c:v>3618.1139122315594</c:v>
                </c:pt>
              </c:numCache>
            </c:numRef>
          </c:yVal>
          <c:smooth val="0"/>
          <c:extLst>
            <c:ext xmlns:c16="http://schemas.microsoft.com/office/drawing/2014/chart" uri="{C3380CC4-5D6E-409C-BE32-E72D297353CC}">
              <c16:uniqueId val="{00000001-40CF-4135-B9F3-271D7B542C3E}"/>
            </c:ext>
          </c:extLst>
        </c:ser>
        <c:dLbls>
          <c:showLegendKey val="0"/>
          <c:showVal val="0"/>
          <c:showCatName val="0"/>
          <c:showSerName val="0"/>
          <c:showPercent val="0"/>
          <c:showBubbleSize val="0"/>
        </c:dLbls>
        <c:axId val="1785890144"/>
        <c:axId val="1785888896"/>
      </c:scatterChart>
      <c:valAx>
        <c:axId val="17858901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888896"/>
        <c:crosses val="autoZero"/>
        <c:crossBetween val="midCat"/>
      </c:valAx>
      <c:valAx>
        <c:axId val="17858888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89014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8" Type="http://schemas.openxmlformats.org/officeDocument/2006/relationships/chart" Target="../charts/chart1.xml"/><Relationship Id="rId3" Type="http://schemas.openxmlformats.org/officeDocument/2006/relationships/image" Target="../media/image8.png"/><Relationship Id="rId7"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10" Type="http://schemas.openxmlformats.org/officeDocument/2006/relationships/image" Target="../media/image13.png"/><Relationship Id="rId4" Type="http://schemas.openxmlformats.org/officeDocument/2006/relationships/image" Target="../media/image9.png"/><Relationship Id="rId9" Type="http://schemas.openxmlformats.org/officeDocument/2006/relationships/chart" Target="../charts/chart2.xml"/></Relationships>
</file>

<file path=xl/drawings/_rels/drawing5.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16.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352425</xdr:colOff>
      <xdr:row>1</xdr:row>
      <xdr:rowOff>142875</xdr:rowOff>
    </xdr:from>
    <xdr:to>
      <xdr:col>15</xdr:col>
      <xdr:colOff>66675</xdr:colOff>
      <xdr:row>43</xdr:row>
      <xdr:rowOff>85725</xdr:rowOff>
    </xdr:to>
    <xdr:sp macro="" textlink="">
      <xdr:nvSpPr>
        <xdr:cNvPr id="2" name="TextBox 1">
          <a:extLst>
            <a:ext uri="{FF2B5EF4-FFF2-40B4-BE49-F238E27FC236}">
              <a16:creationId xmlns:a16="http://schemas.microsoft.com/office/drawing/2014/main" id="{531D8C49-8962-0F65-85E8-E74AE13C7419}"/>
            </a:ext>
          </a:extLst>
        </xdr:cNvPr>
        <xdr:cNvSpPr txBox="1"/>
      </xdr:nvSpPr>
      <xdr:spPr>
        <a:xfrm>
          <a:off x="352425" y="333375"/>
          <a:ext cx="8858250" cy="794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Bryce McCall</a:t>
          </a:r>
        </a:p>
        <a:p>
          <a:r>
            <a:rPr lang="en-ZA" sz="1100"/>
            <a:t>5 Sept</a:t>
          </a:r>
          <a:r>
            <a:rPr lang="en-ZA" sz="1100" baseline="0"/>
            <a:t> 2024</a:t>
          </a:r>
        </a:p>
        <a:p>
          <a:endParaRPr lang="en-ZA" sz="1100" baseline="0"/>
        </a:p>
        <a:p>
          <a:r>
            <a:rPr lang="en-ZA" sz="1100" baseline="0"/>
            <a:t>I have cleaned up the workbook a bit, and have redone the electrolysers input to be neater. It was the same data source as Fadiel Ahjum used (See Ahjum HGN sheet). </a:t>
          </a:r>
        </a:p>
        <a:p>
          <a:endParaRPr lang="en-ZA" sz="1100" baseline="0"/>
        </a:p>
        <a:p>
          <a:r>
            <a:rPr lang="en-ZA" sz="1100" baseline="0"/>
            <a:t>Have kept both PEM and ALK electrolysers in, as the efficiency of PEM is expected to get close to that of ALK later on and will be the dominate driver of economics of electrolysers. </a:t>
          </a:r>
        </a:p>
        <a:p>
          <a:endParaRPr lang="en-ZA" sz="1100" baseline="0"/>
        </a:p>
        <a:p>
          <a:r>
            <a:rPr lang="en-ZA" sz="1100" baseline="0"/>
            <a:t>Seperated the electrolysers from the fossil based H2 production inputs, to make it cleaner. </a:t>
          </a:r>
        </a:p>
        <a:p>
          <a:endParaRPr lang="en-ZA" sz="1100" baseline="0"/>
        </a:p>
        <a:p>
          <a:r>
            <a:rPr lang="en-ZA" sz="1100" baseline="0"/>
            <a:t>Fixed the electrolysers to be input based (GWe).</a:t>
          </a:r>
        </a:p>
        <a:p>
          <a:endParaRPr lang="en-ZA" sz="1100" baseline="0"/>
        </a:p>
        <a:p>
          <a:endParaRPr lang="en-ZA" sz="1100" baseline="0"/>
        </a:p>
        <a:p>
          <a:r>
            <a:rPr lang="en-ZA" sz="1100" baseline="0"/>
            <a:t>Room for improvement: turn the life span of electrolysers from years to cummulative production.</a:t>
          </a:r>
        </a:p>
        <a:p>
          <a:endParaRPr lang="en-ZA" sz="1100" baseline="0"/>
        </a:p>
        <a:p>
          <a:r>
            <a:rPr lang="en-ZA" sz="1100" baseline="0"/>
            <a:t>-------------------------------</a:t>
          </a:r>
        </a:p>
        <a:p>
          <a:endParaRPr lang="en-ZA"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390939</xdr:colOff>
      <xdr:row>3</xdr:row>
      <xdr:rowOff>104777</xdr:rowOff>
    </xdr:from>
    <xdr:to>
      <xdr:col>12</xdr:col>
      <xdr:colOff>165847</xdr:colOff>
      <xdr:row>27</xdr:row>
      <xdr:rowOff>38514</xdr:rowOff>
    </xdr:to>
    <xdr:grpSp>
      <xdr:nvGrpSpPr>
        <xdr:cNvPr id="2" name="Group 1">
          <a:extLst>
            <a:ext uri="{FF2B5EF4-FFF2-40B4-BE49-F238E27FC236}">
              <a16:creationId xmlns:a16="http://schemas.microsoft.com/office/drawing/2014/main" id="{AF8AFC0C-F96C-4E93-A4A6-723C2EAA0E06}"/>
            </a:ext>
          </a:extLst>
        </xdr:cNvPr>
        <xdr:cNvGrpSpPr/>
      </xdr:nvGrpSpPr>
      <xdr:grpSpPr>
        <a:xfrm>
          <a:off x="1610139" y="676277"/>
          <a:ext cx="7280608" cy="4505737"/>
          <a:chOff x="8239125" y="628650"/>
          <a:chExt cx="8082915" cy="6943725"/>
        </a:xfrm>
      </xdr:grpSpPr>
      <xdr:pic>
        <xdr:nvPicPr>
          <xdr:cNvPr id="3" name="Picture 2">
            <a:extLst>
              <a:ext uri="{FF2B5EF4-FFF2-40B4-BE49-F238E27FC236}">
                <a16:creationId xmlns:a16="http://schemas.microsoft.com/office/drawing/2014/main" id="{E9030ACC-7A12-F23C-46C9-6C9C56EC3A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39125" y="628650"/>
            <a:ext cx="8082915" cy="494919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 name="Picture 3">
            <a:extLst>
              <a:ext uri="{FF2B5EF4-FFF2-40B4-BE49-F238E27FC236}">
                <a16:creationId xmlns:a16="http://schemas.microsoft.com/office/drawing/2014/main" id="{61E64C2D-376F-C8EC-E119-83A23969C84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58200" y="5543550"/>
            <a:ext cx="7648575" cy="202882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6</xdr:col>
      <xdr:colOff>240365</xdr:colOff>
      <xdr:row>44</xdr:row>
      <xdr:rowOff>131110</xdr:rowOff>
    </xdr:from>
    <xdr:to>
      <xdr:col>7</xdr:col>
      <xdr:colOff>244848</xdr:colOff>
      <xdr:row>46</xdr:row>
      <xdr:rowOff>104216</xdr:rowOff>
    </xdr:to>
    <xdr:sp macro="" textlink="">
      <xdr:nvSpPr>
        <xdr:cNvPr id="6" name="Arrow: Right 5">
          <a:extLst>
            <a:ext uri="{FF2B5EF4-FFF2-40B4-BE49-F238E27FC236}">
              <a16:creationId xmlns:a16="http://schemas.microsoft.com/office/drawing/2014/main" id="{19832812-0E98-45B6-A06B-21D14D9312D3}"/>
            </a:ext>
          </a:extLst>
        </xdr:cNvPr>
        <xdr:cNvSpPr/>
      </xdr:nvSpPr>
      <xdr:spPr>
        <a:xfrm rot="5400000">
          <a:off x="4894729" y="8335496"/>
          <a:ext cx="354106" cy="709333"/>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6</xdr:col>
      <xdr:colOff>238125</xdr:colOff>
      <xdr:row>27</xdr:row>
      <xdr:rowOff>180976</xdr:rowOff>
    </xdr:from>
    <xdr:to>
      <xdr:col>7</xdr:col>
      <xdr:colOff>242608</xdr:colOff>
      <xdr:row>29</xdr:row>
      <xdr:rowOff>154082</xdr:rowOff>
    </xdr:to>
    <xdr:sp macro="" textlink="">
      <xdr:nvSpPr>
        <xdr:cNvPr id="7" name="Arrow: Right 6">
          <a:extLst>
            <a:ext uri="{FF2B5EF4-FFF2-40B4-BE49-F238E27FC236}">
              <a16:creationId xmlns:a16="http://schemas.microsoft.com/office/drawing/2014/main" id="{5DF05AF1-E136-41C9-B337-212420969902}"/>
            </a:ext>
          </a:extLst>
        </xdr:cNvPr>
        <xdr:cNvSpPr/>
      </xdr:nvSpPr>
      <xdr:spPr>
        <a:xfrm rot="5400000">
          <a:off x="4892489" y="5146862"/>
          <a:ext cx="354106" cy="709333"/>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678180</xdr:colOff>
      <xdr:row>26</xdr:row>
      <xdr:rowOff>76200</xdr:rowOff>
    </xdr:from>
    <xdr:to>
      <xdr:col>3</xdr:col>
      <xdr:colOff>967740</xdr:colOff>
      <xdr:row>28</xdr:row>
      <xdr:rowOff>304800</xdr:rowOff>
    </xdr:to>
    <xdr:pic>
      <xdr:nvPicPr>
        <xdr:cNvPr id="2" name="Picture 2">
          <a:extLst>
            <a:ext uri="{FF2B5EF4-FFF2-40B4-BE49-F238E27FC236}">
              <a16:creationId xmlns:a16="http://schemas.microsoft.com/office/drawing/2014/main" id="{0B29474D-4EC2-42CC-903F-0C211162F204}"/>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897380" y="5029200"/>
          <a:ext cx="272796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17</xdr:col>
      <xdr:colOff>123264</xdr:colOff>
      <xdr:row>4</xdr:row>
      <xdr:rowOff>168087</xdr:rowOff>
    </xdr:from>
    <xdr:ext cx="5218580" cy="3950074"/>
    <xdr:pic>
      <xdr:nvPicPr>
        <xdr:cNvPr id="3" name="Picture 2">
          <a:extLst>
            <a:ext uri="{FF2B5EF4-FFF2-40B4-BE49-F238E27FC236}">
              <a16:creationId xmlns:a16="http://schemas.microsoft.com/office/drawing/2014/main" id="{F50F8B6A-0301-46D7-9084-CD467F779B0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849664" y="930087"/>
          <a:ext cx="5218580" cy="395007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23</xdr:col>
      <xdr:colOff>0</xdr:colOff>
      <xdr:row>25</xdr:row>
      <xdr:rowOff>0</xdr:rowOff>
    </xdr:from>
    <xdr:ext cx="5853448" cy="5206980"/>
    <xdr:pic>
      <xdr:nvPicPr>
        <xdr:cNvPr id="4" name="Picture 3">
          <a:extLst>
            <a:ext uri="{FF2B5EF4-FFF2-40B4-BE49-F238E27FC236}">
              <a16:creationId xmlns:a16="http://schemas.microsoft.com/office/drawing/2014/main" id="{3D770BF2-BC03-4701-873B-CE462FFFBE81}"/>
            </a:ext>
          </a:extLst>
        </xdr:cNvPr>
        <xdr:cNvPicPr>
          <a:picLocks noChangeAspect="1"/>
        </xdr:cNvPicPr>
      </xdr:nvPicPr>
      <xdr:blipFill>
        <a:blip xmlns:r="http://schemas.openxmlformats.org/officeDocument/2006/relationships" r:embed="rId3"/>
        <a:stretch>
          <a:fillRect/>
        </a:stretch>
      </xdr:blipFill>
      <xdr:spPr>
        <a:xfrm>
          <a:off x="28041600" y="4762500"/>
          <a:ext cx="5853448" cy="520698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1</xdr:col>
      <xdr:colOff>47625</xdr:colOff>
      <xdr:row>95</xdr:row>
      <xdr:rowOff>28575</xdr:rowOff>
    </xdr:from>
    <xdr:ext cx="6355184" cy="4829849"/>
    <xdr:pic>
      <xdr:nvPicPr>
        <xdr:cNvPr id="2" name="Picture 1">
          <a:extLst>
            <a:ext uri="{FF2B5EF4-FFF2-40B4-BE49-F238E27FC236}">
              <a16:creationId xmlns:a16="http://schemas.microsoft.com/office/drawing/2014/main" id="{3BA64866-6F77-4E83-8289-3D0684225D8E}"/>
            </a:ext>
          </a:extLst>
        </xdr:cNvPr>
        <xdr:cNvPicPr>
          <a:picLocks noChangeAspect="1"/>
        </xdr:cNvPicPr>
      </xdr:nvPicPr>
      <xdr:blipFill>
        <a:blip xmlns:r="http://schemas.openxmlformats.org/officeDocument/2006/relationships" r:embed="rId1"/>
        <a:stretch>
          <a:fillRect/>
        </a:stretch>
      </xdr:blipFill>
      <xdr:spPr>
        <a:xfrm>
          <a:off x="657225" y="18126075"/>
          <a:ext cx="6355184" cy="4829849"/>
        </a:xfrm>
        <a:prstGeom prst="rect">
          <a:avLst/>
        </a:prstGeom>
      </xdr:spPr>
    </xdr:pic>
    <xdr:clientData/>
  </xdr:oneCellAnchor>
  <xdr:oneCellAnchor>
    <xdr:from>
      <xdr:col>10</xdr:col>
      <xdr:colOff>498662</xdr:colOff>
      <xdr:row>93</xdr:row>
      <xdr:rowOff>30256</xdr:rowOff>
    </xdr:from>
    <xdr:ext cx="4734586" cy="4377630"/>
    <xdr:pic>
      <xdr:nvPicPr>
        <xdr:cNvPr id="3" name="Picture 2">
          <a:extLst>
            <a:ext uri="{FF2B5EF4-FFF2-40B4-BE49-F238E27FC236}">
              <a16:creationId xmlns:a16="http://schemas.microsoft.com/office/drawing/2014/main" id="{4EA1C85A-BBC4-4E21-927E-7D2D9CAA8778}"/>
            </a:ext>
          </a:extLst>
        </xdr:cNvPr>
        <xdr:cNvPicPr>
          <a:picLocks noChangeAspect="1"/>
        </xdr:cNvPicPr>
      </xdr:nvPicPr>
      <xdr:blipFill>
        <a:blip xmlns:r="http://schemas.openxmlformats.org/officeDocument/2006/relationships" r:embed="rId2"/>
        <a:stretch>
          <a:fillRect/>
        </a:stretch>
      </xdr:blipFill>
      <xdr:spPr>
        <a:xfrm>
          <a:off x="6594662" y="17746756"/>
          <a:ext cx="4734586" cy="4377630"/>
        </a:xfrm>
        <a:prstGeom prst="rect">
          <a:avLst/>
        </a:prstGeom>
      </xdr:spPr>
    </xdr:pic>
    <xdr:clientData/>
  </xdr:oneCellAnchor>
  <xdr:oneCellAnchor>
    <xdr:from>
      <xdr:col>27</xdr:col>
      <xdr:colOff>66676</xdr:colOff>
      <xdr:row>88</xdr:row>
      <xdr:rowOff>161926</xdr:rowOff>
    </xdr:from>
    <xdr:ext cx="5362574" cy="4285272"/>
    <xdr:pic>
      <xdr:nvPicPr>
        <xdr:cNvPr id="4" name="Picture 3">
          <a:extLst>
            <a:ext uri="{FF2B5EF4-FFF2-40B4-BE49-F238E27FC236}">
              <a16:creationId xmlns:a16="http://schemas.microsoft.com/office/drawing/2014/main" id="{B56730EF-6EC8-4FDA-A83C-2AEC3F9FC0B2}"/>
            </a:ext>
          </a:extLst>
        </xdr:cNvPr>
        <xdr:cNvPicPr>
          <a:picLocks noChangeAspect="1"/>
        </xdr:cNvPicPr>
      </xdr:nvPicPr>
      <xdr:blipFill>
        <a:blip xmlns:r="http://schemas.openxmlformats.org/officeDocument/2006/relationships" r:embed="rId3"/>
        <a:stretch>
          <a:fillRect/>
        </a:stretch>
      </xdr:blipFill>
      <xdr:spPr>
        <a:xfrm>
          <a:off x="16525876" y="16925926"/>
          <a:ext cx="5362574" cy="4285272"/>
        </a:xfrm>
        <a:prstGeom prst="rect">
          <a:avLst/>
        </a:prstGeom>
      </xdr:spPr>
    </xdr:pic>
    <xdr:clientData/>
  </xdr:oneCellAnchor>
  <xdr:oneCellAnchor>
    <xdr:from>
      <xdr:col>36</xdr:col>
      <xdr:colOff>9525</xdr:colOff>
      <xdr:row>88</xdr:row>
      <xdr:rowOff>123825</xdr:rowOff>
    </xdr:from>
    <xdr:ext cx="5801535" cy="2924583"/>
    <xdr:pic>
      <xdr:nvPicPr>
        <xdr:cNvPr id="5" name="Picture 4">
          <a:extLst>
            <a:ext uri="{FF2B5EF4-FFF2-40B4-BE49-F238E27FC236}">
              <a16:creationId xmlns:a16="http://schemas.microsoft.com/office/drawing/2014/main" id="{C7094526-D7B5-478F-8212-83FECF7F64BC}"/>
            </a:ext>
          </a:extLst>
        </xdr:cNvPr>
        <xdr:cNvPicPr>
          <a:picLocks noChangeAspect="1"/>
        </xdr:cNvPicPr>
      </xdr:nvPicPr>
      <xdr:blipFill>
        <a:blip xmlns:r="http://schemas.openxmlformats.org/officeDocument/2006/relationships" r:embed="rId4"/>
        <a:stretch>
          <a:fillRect/>
        </a:stretch>
      </xdr:blipFill>
      <xdr:spPr>
        <a:xfrm>
          <a:off x="21955125" y="16887825"/>
          <a:ext cx="5801535" cy="2924583"/>
        </a:xfrm>
        <a:prstGeom prst="rect">
          <a:avLst/>
        </a:prstGeom>
      </xdr:spPr>
    </xdr:pic>
    <xdr:clientData/>
  </xdr:oneCellAnchor>
  <xdr:oneCellAnchor>
    <xdr:from>
      <xdr:col>1</xdr:col>
      <xdr:colOff>9526</xdr:colOff>
      <xdr:row>71</xdr:row>
      <xdr:rowOff>171450</xdr:rowOff>
    </xdr:from>
    <xdr:ext cx="10724030" cy="2340163"/>
    <xdr:pic>
      <xdr:nvPicPr>
        <xdr:cNvPr id="6" name="Picture 5">
          <a:extLst>
            <a:ext uri="{FF2B5EF4-FFF2-40B4-BE49-F238E27FC236}">
              <a16:creationId xmlns:a16="http://schemas.microsoft.com/office/drawing/2014/main" id="{60291549-A295-4FAE-8E69-5C26E352FA91}"/>
            </a:ext>
          </a:extLst>
        </xdr:cNvPr>
        <xdr:cNvPicPr>
          <a:picLocks noChangeAspect="1"/>
        </xdr:cNvPicPr>
      </xdr:nvPicPr>
      <xdr:blipFill>
        <a:blip xmlns:r="http://schemas.openxmlformats.org/officeDocument/2006/relationships" r:embed="rId5"/>
        <a:stretch>
          <a:fillRect/>
        </a:stretch>
      </xdr:blipFill>
      <xdr:spPr>
        <a:xfrm>
          <a:off x="619126" y="13696950"/>
          <a:ext cx="10724030" cy="2340163"/>
        </a:xfrm>
        <a:prstGeom prst="rect">
          <a:avLst/>
        </a:prstGeom>
      </xdr:spPr>
    </xdr:pic>
    <xdr:clientData/>
  </xdr:oneCellAnchor>
  <xdr:oneCellAnchor>
    <xdr:from>
      <xdr:col>15</xdr:col>
      <xdr:colOff>352425</xdr:colOff>
      <xdr:row>72</xdr:row>
      <xdr:rowOff>38101</xdr:rowOff>
    </xdr:from>
    <xdr:ext cx="10717530" cy="2288600"/>
    <xdr:pic>
      <xdr:nvPicPr>
        <xdr:cNvPr id="7" name="Picture 6">
          <a:extLst>
            <a:ext uri="{FF2B5EF4-FFF2-40B4-BE49-F238E27FC236}">
              <a16:creationId xmlns:a16="http://schemas.microsoft.com/office/drawing/2014/main" id="{4B5FAB7B-22DA-48A5-A3DA-CB95F0D1C878}"/>
            </a:ext>
          </a:extLst>
        </xdr:cNvPr>
        <xdr:cNvPicPr>
          <a:picLocks noChangeAspect="1"/>
        </xdr:cNvPicPr>
      </xdr:nvPicPr>
      <xdr:blipFill>
        <a:blip xmlns:r="http://schemas.openxmlformats.org/officeDocument/2006/relationships" r:embed="rId6"/>
        <a:stretch>
          <a:fillRect/>
        </a:stretch>
      </xdr:blipFill>
      <xdr:spPr>
        <a:xfrm>
          <a:off x="9496425" y="13754101"/>
          <a:ext cx="10717530" cy="2288600"/>
        </a:xfrm>
        <a:prstGeom prst="rect">
          <a:avLst/>
        </a:prstGeom>
      </xdr:spPr>
    </xdr:pic>
    <xdr:clientData/>
  </xdr:oneCellAnchor>
  <xdr:oneCellAnchor>
    <xdr:from>
      <xdr:col>22</xdr:col>
      <xdr:colOff>57150</xdr:colOff>
      <xdr:row>118</xdr:row>
      <xdr:rowOff>28575</xdr:rowOff>
    </xdr:from>
    <xdr:ext cx="5620534" cy="4029637"/>
    <xdr:pic>
      <xdr:nvPicPr>
        <xdr:cNvPr id="8" name="Picture 7">
          <a:extLst>
            <a:ext uri="{FF2B5EF4-FFF2-40B4-BE49-F238E27FC236}">
              <a16:creationId xmlns:a16="http://schemas.microsoft.com/office/drawing/2014/main" id="{4AB84E39-D5BA-48C6-90EE-9C3CE07F25F1}"/>
            </a:ext>
          </a:extLst>
        </xdr:cNvPr>
        <xdr:cNvPicPr>
          <a:picLocks noChangeAspect="1"/>
        </xdr:cNvPicPr>
      </xdr:nvPicPr>
      <xdr:blipFill>
        <a:blip xmlns:r="http://schemas.openxmlformats.org/officeDocument/2006/relationships" r:embed="rId7"/>
        <a:stretch>
          <a:fillRect/>
        </a:stretch>
      </xdr:blipFill>
      <xdr:spPr>
        <a:xfrm>
          <a:off x="13468350" y="22507575"/>
          <a:ext cx="5620534" cy="4029637"/>
        </a:xfrm>
        <a:prstGeom prst="rect">
          <a:avLst/>
        </a:prstGeom>
      </xdr:spPr>
    </xdr:pic>
    <xdr:clientData/>
  </xdr:oneCellAnchor>
  <xdr:twoCellAnchor>
    <xdr:from>
      <xdr:col>7</xdr:col>
      <xdr:colOff>201708</xdr:colOff>
      <xdr:row>39</xdr:row>
      <xdr:rowOff>100853</xdr:rowOff>
    </xdr:from>
    <xdr:to>
      <xdr:col>14</xdr:col>
      <xdr:colOff>401732</xdr:colOff>
      <xdr:row>52</xdr:row>
      <xdr:rowOff>10366</xdr:rowOff>
    </xdr:to>
    <xdr:graphicFrame macro="">
      <xdr:nvGraphicFramePr>
        <xdr:cNvPr id="9" name="Chart 8">
          <a:extLst>
            <a:ext uri="{FF2B5EF4-FFF2-40B4-BE49-F238E27FC236}">
              <a16:creationId xmlns:a16="http://schemas.microsoft.com/office/drawing/2014/main" id="{039F2508-B3FD-46D2-8ED4-A57EEA95D5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106456</xdr:colOff>
      <xdr:row>25</xdr:row>
      <xdr:rowOff>68355</xdr:rowOff>
    </xdr:from>
    <xdr:to>
      <xdr:col>14</xdr:col>
      <xdr:colOff>442632</xdr:colOff>
      <xdr:row>38</xdr:row>
      <xdr:rowOff>122144</xdr:rowOff>
    </xdr:to>
    <xdr:graphicFrame macro="">
      <xdr:nvGraphicFramePr>
        <xdr:cNvPr id="10" name="Chart 9">
          <a:extLst>
            <a:ext uri="{FF2B5EF4-FFF2-40B4-BE49-F238E27FC236}">
              <a16:creationId xmlns:a16="http://schemas.microsoft.com/office/drawing/2014/main" id="{BEB56439-D002-4F74-B2BD-2B5278FCED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10</xdr:col>
      <xdr:colOff>593912</xdr:colOff>
      <xdr:row>1</xdr:row>
      <xdr:rowOff>224118</xdr:rowOff>
    </xdr:from>
    <xdr:ext cx="7814378" cy="3153775"/>
    <xdr:pic>
      <xdr:nvPicPr>
        <xdr:cNvPr id="11" name="Picture 10">
          <a:extLst>
            <a:ext uri="{FF2B5EF4-FFF2-40B4-BE49-F238E27FC236}">
              <a16:creationId xmlns:a16="http://schemas.microsoft.com/office/drawing/2014/main" id="{2AAFFCE4-C1D8-41C7-B84E-94DA1A72EA9F}"/>
            </a:ext>
          </a:extLst>
        </xdr:cNvPr>
        <xdr:cNvPicPr>
          <a:picLocks noChangeAspect="1"/>
        </xdr:cNvPicPr>
      </xdr:nvPicPr>
      <xdr:blipFill>
        <a:blip xmlns:r="http://schemas.openxmlformats.org/officeDocument/2006/relationships" r:embed="rId10"/>
        <a:stretch>
          <a:fillRect/>
        </a:stretch>
      </xdr:blipFill>
      <xdr:spPr>
        <a:xfrm>
          <a:off x="6689912" y="376518"/>
          <a:ext cx="7814378" cy="3153775"/>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314325</xdr:colOff>
      <xdr:row>73</xdr:row>
      <xdr:rowOff>122959</xdr:rowOff>
    </xdr:from>
    <xdr:ext cx="5892331" cy="4487141"/>
    <xdr:pic>
      <xdr:nvPicPr>
        <xdr:cNvPr id="2" name="Picture 1">
          <a:extLst>
            <a:ext uri="{FF2B5EF4-FFF2-40B4-BE49-F238E27FC236}">
              <a16:creationId xmlns:a16="http://schemas.microsoft.com/office/drawing/2014/main" id="{11364323-642E-4A71-B868-EC9D0C8CCD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325" y="14029459"/>
          <a:ext cx="5892331" cy="448714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1009651</xdr:colOff>
      <xdr:row>19</xdr:row>
      <xdr:rowOff>95250</xdr:rowOff>
    </xdr:from>
    <xdr:ext cx="5867399" cy="3210035"/>
    <xdr:pic>
      <xdr:nvPicPr>
        <xdr:cNvPr id="3" name="Picture 2">
          <a:extLst>
            <a:ext uri="{FF2B5EF4-FFF2-40B4-BE49-F238E27FC236}">
              <a16:creationId xmlns:a16="http://schemas.microsoft.com/office/drawing/2014/main" id="{59C23524-FB56-4D76-9ACF-E5CA18D9F48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1" y="3714750"/>
          <a:ext cx="5867399" cy="321003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xdr:col>
      <xdr:colOff>771525</xdr:colOff>
      <xdr:row>73</xdr:row>
      <xdr:rowOff>133350</xdr:rowOff>
    </xdr:from>
    <xdr:to>
      <xdr:col>12</xdr:col>
      <xdr:colOff>558512</xdr:colOff>
      <xdr:row>92</xdr:row>
      <xdr:rowOff>57150</xdr:rowOff>
    </xdr:to>
    <xdr:sp macro="" textlink="">
      <xdr:nvSpPr>
        <xdr:cNvPr id="4" name="TextBox 3">
          <a:extLst>
            <a:ext uri="{FF2B5EF4-FFF2-40B4-BE49-F238E27FC236}">
              <a16:creationId xmlns:a16="http://schemas.microsoft.com/office/drawing/2014/main" id="{5E891333-A636-4016-B8FC-70D716937A62}"/>
            </a:ext>
          </a:extLst>
        </xdr:cNvPr>
        <xdr:cNvSpPr txBox="1"/>
      </xdr:nvSpPr>
      <xdr:spPr>
        <a:xfrm>
          <a:off x="3657600" y="14039850"/>
          <a:ext cx="4216112" cy="3543300"/>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2019 </a:t>
          </a:r>
        </a:p>
        <a:p>
          <a:endParaRPr lang="en-GB" sz="1100"/>
        </a:p>
        <a:p>
          <a:r>
            <a:rPr lang="en-GB" sz="1100"/>
            <a:t>h2_storage (include elec for compression: e.g. a further 15 kilowatt-hours (54 MJ) if the hydrogen is compressed)</a:t>
          </a:r>
        </a:p>
        <a:p>
          <a:endParaRPr lang="en-GB" sz="1100"/>
        </a:p>
        <a:p>
          <a:r>
            <a:rPr lang="en-GB" sz="1100"/>
            <a:t>Efficiency of modern hydrogen generators is measured by energy consumed per standard volume of hydrogen (MJ/m3), assuming standard temperature and pressure of the H2. The lower the energy used by a generator, the higher would be its efficiency; a 100%-efficient electrolyser would consume 39.4 kilowatt-hours per kilogram (142 MJ/kg) of hydrogen,[35] 12,749 joules per litre (12.75 MJ/m3). Practical electrolysis (using a rotating electrolyser at 15 bar pressure) may consume 50 kilowatt-hours per kilogram (180 MJ/kg), and a further 15 kilowatt-hours (54 MJ) if the hydrogen is compressed for use in hydrogen cars.[36]</a:t>
          </a:r>
        </a:p>
        <a:p>
          <a:r>
            <a:rPr lang="en-GB" sz="1100"/>
            <a:t>https://en.wikipedia.org/wiki/Hydrogen_production</a:t>
          </a:r>
        </a:p>
        <a:p>
          <a:endParaRPr lang="en-GB" sz="1100"/>
        </a:p>
        <a:p>
          <a:r>
            <a:rPr lang="en-GB" sz="1100"/>
            <a:t>?check units in supply chain: mass or energy units for H2 in supply chain?</a:t>
          </a:r>
        </a:p>
        <a:p>
          <a:endParaRPr lang="en-GB" sz="1100"/>
        </a:p>
        <a:p>
          <a:r>
            <a:rPr lang="en-GB" sz="1100"/>
            <a:t>Presently available storage options typically require large-volume systems that store hydrogen in gaseous form. ... On a mass basis, hydrogen has nearly three times the energy content of gasoline—120 MJ/kg for hydrogen versus 44 MJ/kg for gasoline</a:t>
          </a:r>
        </a:p>
        <a:p>
          <a:r>
            <a:rPr lang="en-GB" sz="1100"/>
            <a:t>https://www.energy.gov/eere/fuelcells/hydrogen-storage</a:t>
          </a:r>
        </a:p>
        <a:p>
          <a:endParaRPr lang="en-GB" sz="1100"/>
        </a:p>
      </xdr:txBody>
    </xdr:sp>
    <xdr:clientData/>
  </xdr:twoCellAnchor>
  <xdr:twoCellAnchor>
    <xdr:from>
      <xdr:col>17</xdr:col>
      <xdr:colOff>0</xdr:colOff>
      <xdr:row>40</xdr:row>
      <xdr:rowOff>0</xdr:rowOff>
    </xdr:from>
    <xdr:to>
      <xdr:col>23</xdr:col>
      <xdr:colOff>0</xdr:colOff>
      <xdr:row>57</xdr:row>
      <xdr:rowOff>0</xdr:rowOff>
    </xdr:to>
    <xdr:graphicFrame macro="">
      <xdr:nvGraphicFramePr>
        <xdr:cNvPr id="5" name="Chart 4">
          <a:extLst>
            <a:ext uri="{FF2B5EF4-FFF2-40B4-BE49-F238E27FC236}">
              <a16:creationId xmlns:a16="http://schemas.microsoft.com/office/drawing/2014/main" id="{BEBE018D-D2AF-4E25-A217-AC3E194334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0</xdr:colOff>
      <xdr:row>40</xdr:row>
      <xdr:rowOff>0</xdr:rowOff>
    </xdr:from>
    <xdr:to>
      <xdr:col>29</xdr:col>
      <xdr:colOff>0</xdr:colOff>
      <xdr:row>57</xdr:row>
      <xdr:rowOff>0</xdr:rowOff>
    </xdr:to>
    <xdr:graphicFrame macro="">
      <xdr:nvGraphicFramePr>
        <xdr:cNvPr id="6" name="Chart 5">
          <a:extLst>
            <a:ext uri="{FF2B5EF4-FFF2-40B4-BE49-F238E27FC236}">
              <a16:creationId xmlns:a16="http://schemas.microsoft.com/office/drawing/2014/main" id="{1928094A-D1F8-4398-AA26-9E0D8CC76C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0</xdr:colOff>
      <xdr:row>59</xdr:row>
      <xdr:rowOff>0</xdr:rowOff>
    </xdr:from>
    <xdr:to>
      <xdr:col>23</xdr:col>
      <xdr:colOff>0</xdr:colOff>
      <xdr:row>73</xdr:row>
      <xdr:rowOff>0</xdr:rowOff>
    </xdr:to>
    <xdr:graphicFrame macro="">
      <xdr:nvGraphicFramePr>
        <xdr:cNvPr id="7" name="Chart 6">
          <a:extLst>
            <a:ext uri="{FF2B5EF4-FFF2-40B4-BE49-F238E27FC236}">
              <a16:creationId xmlns:a16="http://schemas.microsoft.com/office/drawing/2014/main" id="{B81B208F-9FE3-479D-A9E7-B2B339950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11</xdr:col>
      <xdr:colOff>295275</xdr:colOff>
      <xdr:row>18</xdr:row>
      <xdr:rowOff>81327</xdr:rowOff>
    </xdr:from>
    <xdr:ext cx="5144626" cy="3310297"/>
    <xdr:pic>
      <xdr:nvPicPr>
        <xdr:cNvPr id="8" name="Picture 7">
          <a:extLst>
            <a:ext uri="{FF2B5EF4-FFF2-40B4-BE49-F238E27FC236}">
              <a16:creationId xmlns:a16="http://schemas.microsoft.com/office/drawing/2014/main" id="{40E8A5CF-DE46-405E-9EBF-A872B642FE65}"/>
            </a:ext>
          </a:extLst>
        </xdr:cNvPr>
        <xdr:cNvPicPr>
          <a:picLocks noChangeAspect="1"/>
        </xdr:cNvPicPr>
      </xdr:nvPicPr>
      <xdr:blipFill>
        <a:blip xmlns:r="http://schemas.openxmlformats.org/officeDocument/2006/relationships" r:embed="rId6"/>
        <a:stretch>
          <a:fillRect/>
        </a:stretch>
      </xdr:blipFill>
      <xdr:spPr>
        <a:xfrm>
          <a:off x="7000875" y="3510327"/>
          <a:ext cx="5144626" cy="3310297"/>
        </a:xfrm>
        <a:prstGeom prst="rect">
          <a:avLst/>
        </a:prstGeom>
      </xdr:spPr>
    </xdr:pic>
    <xdr:clientData/>
  </xdr:oneCellAnchor>
  <xdr:twoCellAnchor>
    <xdr:from>
      <xdr:col>11</xdr:col>
      <xdr:colOff>190500</xdr:colOff>
      <xdr:row>1</xdr:row>
      <xdr:rowOff>90487</xdr:rowOff>
    </xdr:from>
    <xdr:to>
      <xdr:col>18</xdr:col>
      <xdr:colOff>466725</xdr:colOff>
      <xdr:row>15</xdr:row>
      <xdr:rowOff>166687</xdr:rowOff>
    </xdr:to>
    <xdr:graphicFrame macro="">
      <xdr:nvGraphicFramePr>
        <xdr:cNvPr id="9" name="Chart 8">
          <a:extLst>
            <a:ext uri="{FF2B5EF4-FFF2-40B4-BE49-F238E27FC236}">
              <a16:creationId xmlns:a16="http://schemas.microsoft.com/office/drawing/2014/main" id="{36FAC0EB-2086-452F-AEBF-E4C52821BB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01433536/Google%20Drive/SATIM/Model%20Files/DMD_PRJ%20-%20Cop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888E3125F2D\Mydata\D\Modelling%20Group\_03_SECTORS\+FUELS\Oil%20&amp;%20Gas\SASOL\SASOL%202018%20NIR%202017%20v1.03.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Models\SATIMGE_Veda\Archive\OldSUP_v01.xlsx" TargetMode="External"/><Relationship Id="rId1" Type="http://schemas.openxmlformats.org/officeDocument/2006/relationships/externalLinkPath" Target="/Models/SATIMGE_Veda/Archive/OldSUP_v0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Mydata/D/GoogleDrive-ERC/1.Projects/DEFF-DEA/NDC-2020/A.3_NDC_2020%20%5bmodel%20calibration%5d/satim%20petrol-diesel%20%20check%20v02.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Modelling%20Group\_02_PROJECTS\WB\water-energy\task2\Costing%20options%20v6.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AnswerTIMESv6/Answer_Databases/WB/SATIM_20140819runs-copy/TCH_PWR-WAT.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Models/SATIMGE/SATIM/DataSpreadsheets/Defla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ngeLog"/>
      <sheetName val="REGIONS"/>
      <sheetName val="Index"/>
      <sheetName val="FromCGE"/>
      <sheetName val="ITEMS_AGR"/>
      <sheetName val="AGR"/>
      <sheetName val="ITEMS_IND"/>
      <sheetName val="IND"/>
      <sheetName val="ITEMS_RES"/>
      <sheetName val="RES"/>
      <sheetName val="ITEMS_COM"/>
      <sheetName val="COM"/>
      <sheetName val="ITEMS_TRA"/>
      <sheetName val="FTRA"/>
      <sheetName val="PTRA"/>
      <sheetName val="OtherTRA"/>
    </sheetNames>
    <sheetDataSet>
      <sheetData sheetId="0" refreshError="1"/>
      <sheetData sheetId="1" refreshError="1"/>
      <sheetData sheetId="2">
        <row r="7">
          <cell r="C7">
            <v>1</v>
          </cell>
        </row>
        <row r="8">
          <cell r="C8">
            <v>1</v>
          </cell>
        </row>
        <row r="9">
          <cell r="C9">
            <v>1</v>
          </cell>
        </row>
        <row r="10">
          <cell r="C10">
            <v>1</v>
          </cell>
        </row>
        <row r="11">
          <cell r="C11">
            <v>1</v>
          </cell>
        </row>
      </sheetData>
      <sheetData sheetId="3">
        <row r="5">
          <cell r="J5" t="str">
            <v>Greenshoots</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SOL NIR 2017"/>
      <sheetName val="SASOL Commodities"/>
      <sheetName val="NERSA2017"/>
      <sheetName val="GAS 2000-2029 CY"/>
      <sheetName val="SASOL CC 2019 report"/>
      <sheetName val="FTS-Unallocated"/>
      <sheetName val="Secunda Emissions 2019 etc"/>
      <sheetName val="Calorific values"/>
    </sheetNames>
    <sheetDataSet>
      <sheetData sheetId="0">
        <row r="11">
          <cell r="U11">
            <v>30.761111</v>
          </cell>
        </row>
      </sheetData>
      <sheetData sheetId="1">
        <row r="10">
          <cell r="D10">
            <v>3809</v>
          </cell>
        </row>
      </sheetData>
      <sheetData sheetId="2"/>
      <sheetData sheetId="3"/>
      <sheetData sheetId="4">
        <row r="97">
          <cell r="E97">
            <v>296</v>
          </cell>
        </row>
        <row r="98">
          <cell r="E98">
            <v>23</v>
          </cell>
        </row>
      </sheetData>
      <sheetData sheetId="5"/>
      <sheetData sheetId="6"/>
      <sheetData sheetId="7">
        <row r="8">
          <cell r="B8">
            <v>41</v>
          </cell>
        </row>
        <row r="18">
          <cell r="B18">
            <v>24.3</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dex"/>
      <sheetName val="ChangeLog"/>
      <sheetName val="NameConv"/>
      <sheetName val="EnergyBalance2017"/>
      <sheetName val="PRI"/>
      <sheetName val="CombustionEmissions"/>
      <sheetName val="FugitiveEmissions"/>
      <sheetName val="EmissionsAggregationCO2eq"/>
      <sheetName val="FuelTechs"/>
      <sheetName val="Liq Fuel Prices"/>
      <sheetName val="Coal price"/>
      <sheetName val="Oil price"/>
      <sheetName val="Gas Price"/>
      <sheetName val="Distribution"/>
      <sheetName val="ITEMS_STech"/>
      <sheetName val="ITEMS_Comm"/>
      <sheetName val="TS ZTech"/>
      <sheetName val="TID ZTech"/>
      <sheetName val="Crude refineries"/>
      <sheetName val="Cleaner Fuels Phase-2"/>
      <sheetName val="GTL and CTL"/>
      <sheetName val="SummaryRef"/>
      <sheetName val="RefineriesRES"/>
      <sheetName val="SasolRES2012"/>
      <sheetName val="SasolRES-2017"/>
      <sheetName val="GAS 2000-2029 CY"/>
      <sheetName val="SASOL CC 2019 report"/>
      <sheetName val="Secunda Emissions 2019"/>
      <sheetName val="RefineriesData"/>
      <sheetName val="Aviation Synfuel Data"/>
      <sheetName val="Aviation Synfuel-Items"/>
      <sheetName val="Aviation Synfuel-TSData"/>
      <sheetName val="Aviation Synfuel-TIDData"/>
      <sheetName val="Hydrogen-Other"/>
      <sheetName val="Hydrogen-ELT"/>
      <sheetName val="H2Storage"/>
      <sheetName val="H2Storage-Items"/>
      <sheetName val="H2Storage-TSData"/>
      <sheetName val="H2Storage-TIDData"/>
      <sheetName val="UPS"/>
      <sheetName val="ITEMS_UPS"/>
      <sheetName val="ITEMS_GRP"/>
      <sheetName val="TS_TTech"/>
      <sheetName val="TID_TTech"/>
      <sheetName val="ITEMS_CommX"/>
      <sheetName val="TS_XTech"/>
      <sheetName val="TID_XTech"/>
      <sheetName val="ITEMS_XEmiss"/>
      <sheetName val="TS XEmiss"/>
      <sheetName val="TID XEmiss"/>
      <sheetName val="ExchangeRateDetail"/>
      <sheetName val="Deflator"/>
      <sheetName val="SUPRES"/>
      <sheetName val="ITEMS_XFEmiss"/>
      <sheetName val="TS XFEmiss"/>
      <sheetName val="TID XFEmiss"/>
      <sheetName val="Emission Control_Technologies"/>
      <sheetName val="Items_TEmiss"/>
      <sheetName val="ITEMS UC"/>
      <sheetName val="TS UC"/>
      <sheetName val="TID UC"/>
      <sheetName val="WAT-Items"/>
      <sheetName val="WAT-TSData"/>
      <sheetName val="WAT-TIDData"/>
      <sheetName val="HGN-TSData xtras"/>
      <sheetName val="HGN-TIDData xtras"/>
      <sheetName val="CPI_1960-2013"/>
      <sheetName val="Sheet1"/>
    </sheetNames>
    <sheetDataSet>
      <sheetData sheetId="0">
        <row r="2">
          <cell r="A2">
            <v>1</v>
          </cell>
          <cell r="D2">
            <v>1</v>
          </cell>
          <cell r="E2">
            <v>1</v>
          </cell>
          <cell r="F2">
            <v>1</v>
          </cell>
          <cell r="G2">
            <v>1</v>
          </cell>
          <cell r="H2">
            <v>1</v>
          </cell>
          <cell r="I2">
            <v>1</v>
          </cell>
          <cell r="J2">
            <v>1</v>
          </cell>
        </row>
      </sheetData>
      <sheetData sheetId="1"/>
      <sheetData sheetId="2">
        <row r="3">
          <cell r="AX3">
            <v>16</v>
          </cell>
        </row>
        <row r="4">
          <cell r="AY4" t="str">
            <v>CO2S</v>
          </cell>
        </row>
        <row r="5">
          <cell r="B5" t="str">
            <v>Biogas</v>
          </cell>
          <cell r="C5" t="str">
            <v>BIG</v>
          </cell>
        </row>
        <row r="6">
          <cell r="B6" t="str">
            <v>Bioethanol</v>
          </cell>
          <cell r="C6" t="str">
            <v>BIE</v>
          </cell>
        </row>
        <row r="7">
          <cell r="B7" t="str">
            <v>Biodiesel</v>
          </cell>
          <cell r="C7" t="str">
            <v>BID</v>
          </cell>
        </row>
        <row r="8">
          <cell r="B8" t="str">
            <v>Biomass bagasse</v>
          </cell>
          <cell r="C8" t="str">
            <v>BIB</v>
          </cell>
        </row>
        <row r="9">
          <cell r="B9" t="str">
            <v>Biomass Other</v>
          </cell>
          <cell r="C9" t="str">
            <v>BIO</v>
          </cell>
        </row>
        <row r="10">
          <cell r="B10" t="str">
            <v>Biomass Wood</v>
          </cell>
          <cell r="C10" t="str">
            <v>BIW</v>
          </cell>
        </row>
        <row r="11">
          <cell r="B11" t="str">
            <v>Coal</v>
          </cell>
          <cell r="C11" t="str">
            <v>COA</v>
          </cell>
        </row>
        <row r="12">
          <cell r="B12" t="str">
            <v>Coal Coking</v>
          </cell>
          <cell r="C12" t="str">
            <v>COK</v>
          </cell>
        </row>
        <row r="13">
          <cell r="B13" t="str">
            <v>Coal Discard</v>
          </cell>
          <cell r="C13" t="str">
            <v>CLD</v>
          </cell>
        </row>
        <row r="14">
          <cell r="B14" t="str">
            <v>Coal low grade</v>
          </cell>
          <cell r="C14" t="str">
            <v>CLE</v>
          </cell>
        </row>
        <row r="15">
          <cell r="B15" t="str">
            <v>Coal for plants in Botswana</v>
          </cell>
          <cell r="C15" t="str">
            <v>CRB</v>
          </cell>
        </row>
        <row r="16">
          <cell r="B16" t="str">
            <v>Electricity</v>
          </cell>
          <cell r="C16" t="str">
            <v>ELC</v>
          </cell>
        </row>
        <row r="17">
          <cell r="B17" t="str">
            <v>Electricity Upstream Transmission</v>
          </cell>
          <cell r="C17" t="str">
            <v>ELCC</v>
          </cell>
        </row>
        <row r="18">
          <cell r="B18" t="str">
            <v>Gas South Africa</v>
          </cell>
          <cell r="C18" t="str">
            <v>GAS</v>
          </cell>
        </row>
        <row r="19">
          <cell r="B19" t="str">
            <v>Gas Southern Mozambique</v>
          </cell>
          <cell r="C19" t="str">
            <v>GRS</v>
          </cell>
        </row>
        <row r="20">
          <cell r="B20" t="str">
            <v>Gas Namibia</v>
          </cell>
          <cell r="C20" t="str">
            <v>GRN</v>
          </cell>
        </row>
        <row r="21">
          <cell r="B21" t="str">
            <v>Gas Regional LNG</v>
          </cell>
          <cell r="C21" t="str">
            <v>GRL</v>
          </cell>
        </row>
        <row r="22">
          <cell r="B22" t="str">
            <v>Gas International LNG</v>
          </cell>
          <cell r="C22" t="str">
            <v>GWL</v>
          </cell>
        </row>
        <row r="23">
          <cell r="B23" t="str">
            <v>Gas Northern Mozambique</v>
          </cell>
          <cell r="C23" t="str">
            <v>GRM</v>
          </cell>
        </row>
        <row r="24">
          <cell r="B24" t="str">
            <v>Gas Indigenous Ibhubezi</v>
          </cell>
          <cell r="C24" t="str">
            <v>GIB</v>
          </cell>
        </row>
        <row r="25">
          <cell r="B25" t="str">
            <v>Gas Indigenous Shale</v>
          </cell>
          <cell r="C25" t="str">
            <v>GIH</v>
          </cell>
        </row>
        <row r="26">
          <cell r="B26" t="str">
            <v>Coastal Gas</v>
          </cell>
          <cell r="C26" t="str">
            <v>GIC</v>
          </cell>
        </row>
        <row r="27">
          <cell r="B27" t="str">
            <v>Gas Methane Rich</v>
          </cell>
          <cell r="C27" t="str">
            <v>GIM</v>
          </cell>
        </row>
        <row r="28">
          <cell r="B28" t="str">
            <v>Heat-Steam</v>
          </cell>
          <cell r="C28" t="str">
            <v>HET</v>
          </cell>
        </row>
        <row r="29">
          <cell r="B29" t="str">
            <v>Heat-Steam Existing</v>
          </cell>
          <cell r="C29" t="str">
            <v>HEE</v>
          </cell>
        </row>
        <row r="30">
          <cell r="B30" t="str">
            <v>Heat-Steam New</v>
          </cell>
          <cell r="C30" t="str">
            <v>HEN</v>
          </cell>
        </row>
        <row r="31">
          <cell r="B31" t="str">
            <v>Hydro</v>
          </cell>
          <cell r="C31" t="str">
            <v>HYD</v>
          </cell>
        </row>
        <row r="32">
          <cell r="B32" t="str">
            <v>Hydrogen</v>
          </cell>
          <cell r="C32" t="str">
            <v>HGN</v>
          </cell>
        </row>
        <row r="33">
          <cell r="B33" t="str">
            <v>Nuclear</v>
          </cell>
          <cell r="C33" t="str">
            <v>NUC</v>
          </cell>
        </row>
        <row r="34">
          <cell r="B34" t="str">
            <v>Oil Av Gasoline</v>
          </cell>
          <cell r="C34" t="str">
            <v>OAG</v>
          </cell>
        </row>
        <row r="35">
          <cell r="B35" t="str">
            <v>Oil Crude</v>
          </cell>
          <cell r="C35" t="str">
            <v>OCR</v>
          </cell>
        </row>
        <row r="36">
          <cell r="B36" t="str">
            <v>Oil Diesel</v>
          </cell>
          <cell r="C36" t="str">
            <v>ODS</v>
          </cell>
        </row>
        <row r="37">
          <cell r="B37" t="str">
            <v>Oil Gasoline</v>
          </cell>
          <cell r="C37" t="str">
            <v>OGS</v>
          </cell>
        </row>
        <row r="38">
          <cell r="B38" t="str">
            <v>Oil HFO</v>
          </cell>
          <cell r="C38" t="str">
            <v>OHF</v>
          </cell>
        </row>
        <row r="39">
          <cell r="B39" t="str">
            <v>Oil Kerosene</v>
          </cell>
          <cell r="C39" t="str">
            <v>OKE</v>
          </cell>
        </row>
        <row r="40">
          <cell r="B40" t="str">
            <v>Oil LPG</v>
          </cell>
          <cell r="C40" t="str">
            <v>OLP</v>
          </cell>
        </row>
        <row r="41">
          <cell r="B41" t="str">
            <v>Oil Other</v>
          </cell>
          <cell r="C41" t="str">
            <v>OTH</v>
          </cell>
        </row>
        <row r="42">
          <cell r="B42" t="str">
            <v>Solar</v>
          </cell>
          <cell r="C42" t="str">
            <v>SOL</v>
          </cell>
        </row>
        <row r="43">
          <cell r="B43" t="str">
            <v>Wind</v>
          </cell>
          <cell r="C43" t="str">
            <v>WND</v>
          </cell>
        </row>
        <row r="44">
          <cell r="B44" t="str">
            <v>Waste</v>
          </cell>
          <cell r="C44" t="str">
            <v>WAS</v>
          </cell>
        </row>
        <row r="49">
          <cell r="B49" t="str">
            <v>AGR</v>
          </cell>
          <cell r="C49" t="str">
            <v>Agriculture</v>
          </cell>
        </row>
        <row r="50">
          <cell r="B50" t="str">
            <v>COM</v>
          </cell>
          <cell r="C50" t="str">
            <v>Commerce</v>
          </cell>
        </row>
        <row r="51">
          <cell r="B51" t="str">
            <v>IND</v>
          </cell>
          <cell r="C51" t="str">
            <v>Industry</v>
          </cell>
        </row>
        <row r="52">
          <cell r="B52" t="str">
            <v>PWR</v>
          </cell>
          <cell r="C52" t="str">
            <v>Power</v>
          </cell>
        </row>
        <row r="53">
          <cell r="B53" t="str">
            <v>RES</v>
          </cell>
          <cell r="C53" t="str">
            <v>Residential</v>
          </cell>
        </row>
        <row r="54">
          <cell r="B54" t="str">
            <v>TRA</v>
          </cell>
          <cell r="C54" t="str">
            <v>Transport</v>
          </cell>
        </row>
        <row r="55">
          <cell r="B55" t="str">
            <v>UPS</v>
          </cell>
          <cell r="C55" t="str">
            <v>Upstream</v>
          </cell>
        </row>
        <row r="56">
          <cell r="B56"/>
          <cell r="C56"/>
        </row>
        <row r="57">
          <cell r="B57"/>
          <cell r="C57"/>
        </row>
      </sheetData>
      <sheetData sheetId="3"/>
      <sheetData sheetId="4">
        <row r="51">
          <cell r="E51">
            <v>11.914999999999999</v>
          </cell>
        </row>
      </sheetData>
      <sheetData sheetId="5"/>
      <sheetData sheetId="6"/>
      <sheetData sheetId="7"/>
      <sheetData sheetId="8"/>
      <sheetData sheetId="9"/>
      <sheetData sheetId="10"/>
      <sheetData sheetId="11"/>
      <sheetData sheetId="12"/>
      <sheetData sheetId="13">
        <row r="17">
          <cell r="A17">
            <v>2.54</v>
          </cell>
        </row>
      </sheetData>
      <sheetData sheetId="14"/>
      <sheetData sheetId="15"/>
      <sheetData sheetId="16"/>
      <sheetData sheetId="17"/>
      <sheetData sheetId="18">
        <row r="56">
          <cell r="F56">
            <v>0.34416826003824091</v>
          </cell>
          <cell r="G56">
            <v>0.55066921606118546</v>
          </cell>
          <cell r="H56">
            <v>0.74187380497131927</v>
          </cell>
          <cell r="J56">
            <v>0.74187380497131927</v>
          </cell>
          <cell r="L56">
            <v>0.74187380497131927</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39">
          <cell r="D39">
            <v>120.1</v>
          </cell>
        </row>
      </sheetData>
      <sheetData sheetId="35"/>
      <sheetData sheetId="36"/>
      <sheetData sheetId="37"/>
      <sheetData sheetId="38"/>
      <sheetData sheetId="39">
        <row r="6">
          <cell r="B6" t="str">
            <v>UPS</v>
          </cell>
        </row>
      </sheetData>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el.comparison"/>
      <sheetName val="FCS2018"/>
      <sheetName val="SATIM"/>
      <sheetName val="SAPIAAR2018"/>
      <sheetName val="NIR2017"/>
      <sheetName val="DoE.Petrol"/>
      <sheetName val="DoE.Diesel"/>
      <sheetName val="units"/>
      <sheetName val="scrap"/>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2">
          <cell r="B2">
            <v>38.6</v>
          </cell>
        </row>
        <row r="3">
          <cell r="B3">
            <v>34.659999999999997</v>
          </cell>
        </row>
      </sheetData>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version"/>
      <sheetName val="units"/>
      <sheetName val="AMD"/>
      <sheetName val="AMD.v2"/>
      <sheetName val="coal mining"/>
      <sheetName val="TDS  vs Capex"/>
      <sheetName val="WTP energy costs"/>
      <sheetName val="Shale gas"/>
      <sheetName val="Shale-AMD wtp"/>
      <sheetName val="Uranium-Gold"/>
      <sheetName val="fgd costs"/>
      <sheetName val="Coal dist"/>
      <sheetName val="steam"/>
      <sheetName val="refineries"/>
      <sheetName val="cooling water"/>
      <sheetName val="seasonal"/>
      <sheetName val="PWR station GIS data"/>
      <sheetName val="Existing Plants by Water Supply"/>
      <sheetName val="Existing Plants by Coal Supply"/>
      <sheetName val="Eskom coal pwr plants"/>
      <sheetName val="charts"/>
      <sheetName val="TechWATv4"/>
      <sheetName val="TechWATv5 (supwat5)"/>
      <sheetName val="FromCGE"/>
      <sheetName val="Non-Energy Water Demand"/>
      <sheetName val="non-power liquid fuels"/>
      <sheetName val="CPI_1960-2013"/>
      <sheetName val="JHB return flows"/>
      <sheetName val="misc calcs"/>
      <sheetName val="WSR-A"/>
      <sheetName val="WSR-B"/>
      <sheetName val="WSR-C"/>
      <sheetName val="WSR-D"/>
      <sheetName val="WSR-R"/>
      <sheetName val="WSR-Z"/>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3">
          <cell r="E3">
            <v>0.08</v>
          </cell>
        </row>
      </sheetData>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isting capacity basic data"/>
      <sheetName val="PWR"/>
      <sheetName val="ITEMS_Teche"/>
      <sheetName val="TS ETech"/>
      <sheetName val="TID ETech"/>
      <sheetName val="ITEMS_Comm"/>
      <sheetName val="New Capacity basic data"/>
      <sheetName val="Inga"/>
      <sheetName val="OtherRegionalProjects"/>
      <sheetName val="NT_PWR"/>
      <sheetName val="ITEMS_Techn"/>
      <sheetName val="TS INVFX"/>
      <sheetName val="TS INVFX_5yr"/>
      <sheetName val="TS INVFX_IRP"/>
      <sheetName val="TS NTech"/>
      <sheetName val="TS NTechICost"/>
      <sheetName val="TID NTech"/>
      <sheetName val="ITEMS GRP"/>
      <sheetName val="TS Othere"/>
      <sheetName val="TID Othere"/>
      <sheetName val="ITEMS UC"/>
      <sheetName val="TS UC"/>
      <sheetName val="TID UC"/>
      <sheetName val="ITEMS UC_BLIPPP"/>
      <sheetName val="TS UC_BLIPPP"/>
      <sheetName val="TID UC_BLIPPP"/>
      <sheetName val="REAvail"/>
      <sheetName val="REAvail (2)"/>
      <sheetName val="TS REAvail"/>
      <sheetName val="REAvail_10TS"/>
      <sheetName val="REAvail_10TS (2)"/>
      <sheetName val="TS REAvail_10TS"/>
      <sheetName val="REGIONS"/>
      <sheetName val="NameConv"/>
      <sheetName val="Deflator"/>
      <sheetName val="EskomCoalEff"/>
      <sheetName val="Analytica_Input"/>
      <sheetName val="LogofChanges"/>
    </sheetNames>
    <sheetDataSet>
      <sheetData sheetId="0"/>
      <sheetData sheetId="1"/>
      <sheetData sheetId="2"/>
      <sheetData sheetId="3"/>
      <sheetData sheetId="4"/>
      <sheetData sheetId="5"/>
      <sheetData sheetId="6">
        <row r="9">
          <cell r="B9">
            <v>0</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flator"/>
    </sheetNames>
    <sheetDataSet>
      <sheetData sheetId="0" refreshError="1">
        <row r="4">
          <cell r="L4">
            <v>1.7734731669022814</v>
          </cell>
          <cell r="O4">
            <v>1.3925713075799215</v>
          </cell>
          <cell r="P4">
            <v>1.3094103081137336</v>
          </cell>
          <cell r="R4">
            <v>1.1636030437253695</v>
          </cell>
          <cell r="S4">
            <v>1.0978875034592741</v>
          </cell>
          <cell r="T4">
            <v>1.0377447099466544</v>
          </cell>
          <cell r="U4">
            <v>1</v>
          </cell>
        </row>
      </sheetData>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hyperlink" Target="https://www.webqc.org/molecular-weight-of-h.html" TargetMode="External"/><Relationship Id="rId2" Type="http://schemas.openxmlformats.org/officeDocument/2006/relationships/hyperlink" Target="http://www.psi.org.uk/pdf/2008/HydrogenMARKAL_report.pdf" TargetMode="External"/><Relationship Id="rId1" Type="http://schemas.openxmlformats.org/officeDocument/2006/relationships/hyperlink" Target="http://www.wholesem.ac.uk/bartlett/energy/research/themes/energy-systems/hydrogen/" TargetMode="External"/><Relationship Id="rId6" Type="http://schemas.openxmlformats.org/officeDocument/2006/relationships/drawing" Target="../drawings/drawing3.xml"/><Relationship Id="rId5" Type="http://schemas.openxmlformats.org/officeDocument/2006/relationships/printerSettings" Target="../printerSettings/printerSettings2.bin"/><Relationship Id="rId4" Type="http://schemas.openxmlformats.org/officeDocument/2006/relationships/hyperlink" Target="https://www.webqc.org/molecular-weight-of-o.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s://www.hydrogen.energy.gov/storage.html" TargetMode="External"/><Relationship Id="rId1" Type="http://schemas.openxmlformats.org/officeDocument/2006/relationships/hyperlink" Target="https://www.hydrogen.energy.gov/pdfs/9013_energy_requirements_for_hydrogen_gas_compression.pdf"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earch.worldbank.org/data?qterm=gdp%20deflator%20%22south%20africa%22&amp;language=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4A5F1-9E0F-48D5-BAC3-9C0CDF0A8078}">
  <sheetPr>
    <tabColor rgb="FF00B050"/>
  </sheetPr>
  <dimension ref="A1"/>
  <sheetViews>
    <sheetView tabSelected="1" workbookViewId="0">
      <selection activeCell="R20" sqref="R20"/>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B1213-6C31-48A8-83C3-BAB34D61794D}">
  <sheetPr>
    <tabColor theme="4"/>
  </sheetPr>
  <dimension ref="B2:I21"/>
  <sheetViews>
    <sheetView workbookViewId="0">
      <selection activeCell="J39" sqref="J39"/>
    </sheetView>
  </sheetViews>
  <sheetFormatPr defaultRowHeight="15" x14ac:dyDescent="0.25"/>
  <cols>
    <col min="2" max="2" width="21.5703125" bestFit="1" customWidth="1"/>
    <col min="3" max="3" width="69" bestFit="1" customWidth="1"/>
    <col min="8" max="8" width="13.140625" customWidth="1"/>
  </cols>
  <sheetData>
    <row r="2" spans="2:9" x14ac:dyDescent="0.25">
      <c r="B2" s="251"/>
      <c r="C2" s="251"/>
      <c r="D2" s="251"/>
      <c r="E2" s="251"/>
      <c r="F2" s="251"/>
      <c r="G2" s="251"/>
    </row>
    <row r="3" spans="2:9" x14ac:dyDescent="0.25">
      <c r="B3" s="252" t="s">
        <v>32</v>
      </c>
      <c r="C3" s="253"/>
      <c r="D3" s="253"/>
      <c r="E3" s="253"/>
      <c r="F3" s="253"/>
      <c r="G3" s="253"/>
    </row>
    <row r="4" spans="2:9" x14ac:dyDescent="0.25">
      <c r="B4" s="254" t="s">
        <v>18</v>
      </c>
      <c r="C4" s="254" t="s">
        <v>17</v>
      </c>
      <c r="D4" s="254" t="s">
        <v>16</v>
      </c>
      <c r="E4" s="254" t="s">
        <v>15</v>
      </c>
      <c r="F4" s="254" t="s">
        <v>14</v>
      </c>
      <c r="G4" s="254" t="s">
        <v>19</v>
      </c>
      <c r="H4" s="254" t="s">
        <v>13</v>
      </c>
      <c r="I4" s="254" t="s">
        <v>12</v>
      </c>
    </row>
    <row r="5" spans="2:9" x14ac:dyDescent="0.25">
      <c r="B5" t="str">
        <f>'Fossil Hydrogen production'!B6</f>
        <v>USMRGASHGN</v>
      </c>
      <c r="C5" t="str">
        <f>'Fossil Hydrogen production'!A6</f>
        <v>Production Plant Hydrogen - Large SMR - Inland</v>
      </c>
      <c r="D5" t="s">
        <v>3</v>
      </c>
      <c r="E5" t="s">
        <v>610</v>
      </c>
      <c r="F5" t="s">
        <v>611</v>
      </c>
      <c r="G5" t="s">
        <v>4</v>
      </c>
    </row>
    <row r="6" spans="2:9" x14ac:dyDescent="0.25">
      <c r="B6" t="str">
        <f>'Fossil Hydrogen production'!B10</f>
        <v>USMRGICHGN</v>
      </c>
      <c r="C6" t="str">
        <f>'Fossil Hydrogen production'!A10</f>
        <v>Production Plant Hydrogen - Large SMR - Coastal</v>
      </c>
      <c r="D6" t="s">
        <v>3</v>
      </c>
      <c r="E6" t="s">
        <v>610</v>
      </c>
      <c r="F6" t="s">
        <v>611</v>
      </c>
      <c r="G6" t="s">
        <v>4</v>
      </c>
    </row>
    <row r="7" spans="2:9" x14ac:dyDescent="0.25">
      <c r="B7" t="str">
        <f>'Fossil Hydrogen production'!B14</f>
        <v>UCOGCLEHGN</v>
      </c>
      <c r="C7" t="str">
        <f>'Fossil Hydrogen production'!A14</f>
        <v>Production Plant Hydrogen - Large Coal Gasification</v>
      </c>
      <c r="D7" t="s">
        <v>3</v>
      </c>
      <c r="E7" t="s">
        <v>610</v>
      </c>
      <c r="F7" t="s">
        <v>611</v>
      </c>
      <c r="G7" t="s">
        <v>4</v>
      </c>
    </row>
    <row r="8" spans="2:9" x14ac:dyDescent="0.25">
      <c r="B8" t="s">
        <v>383</v>
      </c>
      <c r="C8" t="s">
        <v>391</v>
      </c>
      <c r="D8" t="s">
        <v>3</v>
      </c>
      <c r="E8" t="s">
        <v>612</v>
      </c>
      <c r="F8" t="s">
        <v>35</v>
      </c>
      <c r="G8" t="s">
        <v>4</v>
      </c>
      <c r="H8" s="292" t="str">
        <f>Electrolysers!E73</f>
        <v>UPSELC</v>
      </c>
      <c r="I8" s="292" t="s">
        <v>0</v>
      </c>
    </row>
    <row r="9" spans="2:9" x14ac:dyDescent="0.25">
      <c r="B9" t="s">
        <v>384</v>
      </c>
      <c r="C9" t="s">
        <v>393</v>
      </c>
      <c r="D9" t="s">
        <v>3</v>
      </c>
      <c r="E9" t="s">
        <v>612</v>
      </c>
      <c r="F9" t="s">
        <v>35</v>
      </c>
      <c r="G9" t="s">
        <v>4</v>
      </c>
      <c r="H9" s="292" t="str">
        <f>Electrolysers!E74</f>
        <v>UPSELC</v>
      </c>
      <c r="I9" s="292" t="s">
        <v>0</v>
      </c>
    </row>
    <row r="14" spans="2:9" x14ac:dyDescent="0.25">
      <c r="B14" s="16"/>
    </row>
    <row r="16" spans="2:9" x14ac:dyDescent="0.25">
      <c r="G16" s="179"/>
    </row>
    <row r="17" spans="7:7" x14ac:dyDescent="0.25">
      <c r="G17" s="179"/>
    </row>
    <row r="18" spans="7:7" x14ac:dyDescent="0.25">
      <c r="G18" s="179"/>
    </row>
    <row r="21" spans="7:7" x14ac:dyDescent="0.25">
      <c r="G21" s="17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A4211-008F-49A8-AEFF-BC627C2CC3AB}">
  <sheetPr>
    <tabColor theme="4"/>
  </sheetPr>
  <dimension ref="A1:AE27"/>
  <sheetViews>
    <sheetView workbookViewId="0">
      <selection activeCell="AE42" sqref="AE42"/>
    </sheetView>
  </sheetViews>
  <sheetFormatPr defaultColWidth="11.42578125" defaultRowHeight="12.75" x14ac:dyDescent="0.2"/>
  <cols>
    <col min="1" max="1" width="47" style="179" customWidth="1"/>
    <col min="2" max="2" width="17.28515625" style="179" customWidth="1"/>
    <col min="3" max="3" width="14.28515625" style="179" customWidth="1"/>
    <col min="4" max="10" width="10" style="179" customWidth="1"/>
    <col min="11" max="11" width="10" style="181" customWidth="1"/>
    <col min="12" max="14" width="10" style="179" customWidth="1"/>
    <col min="15" max="18" width="10" style="180" customWidth="1"/>
    <col min="19" max="19" width="10" style="179" customWidth="1"/>
    <col min="20" max="20" width="7.28515625" style="179" customWidth="1"/>
    <col min="21" max="22" width="9.7109375" style="179" customWidth="1"/>
    <col min="23" max="24" width="7.28515625" style="180" customWidth="1"/>
    <col min="25" max="16384" width="11.42578125" style="179"/>
  </cols>
  <sheetData>
    <row r="1" spans="1:31" ht="20.25" thickBot="1" x14ac:dyDescent="0.35">
      <c r="A1" s="211" t="s">
        <v>574</v>
      </c>
      <c r="B1" s="214" t="s">
        <v>581</v>
      </c>
      <c r="C1" s="211"/>
      <c r="D1" s="211"/>
      <c r="E1" s="211"/>
      <c r="F1" s="213"/>
      <c r="G1" s="209"/>
      <c r="H1" s="209"/>
      <c r="I1" s="209"/>
      <c r="J1" s="209"/>
      <c r="K1" s="212"/>
      <c r="L1" s="211"/>
      <c r="M1" s="179" t="s">
        <v>609</v>
      </c>
      <c r="O1" s="179">
        <v>1.4059999999999999</v>
      </c>
      <c r="P1" s="179"/>
      <c r="Q1" s="179"/>
      <c r="R1" s="179"/>
      <c r="W1" s="179"/>
      <c r="X1" s="179"/>
    </row>
    <row r="2" spans="1:31" ht="13.5" thickTop="1" x14ac:dyDescent="0.2">
      <c r="A2" s="207"/>
      <c r="B2" s="208"/>
      <c r="C2" s="208"/>
      <c r="D2" s="208"/>
      <c r="E2" s="208" t="s">
        <v>33</v>
      </c>
      <c r="F2" s="208"/>
      <c r="G2" s="207"/>
      <c r="H2" s="207"/>
      <c r="I2" s="207"/>
      <c r="J2" s="207"/>
      <c r="K2" s="210"/>
      <c r="L2" s="208"/>
      <c r="M2" s="208"/>
      <c r="N2" s="207"/>
      <c r="O2" s="208"/>
      <c r="P2" s="208"/>
      <c r="Q2" s="208"/>
      <c r="R2" s="208"/>
      <c r="S2" s="208"/>
      <c r="T2" s="208"/>
      <c r="U2" s="208"/>
      <c r="V2" s="208"/>
      <c r="W2" s="208"/>
      <c r="X2" s="208"/>
    </row>
    <row r="3" spans="1:31" ht="42.75" customHeight="1" x14ac:dyDescent="0.2">
      <c r="A3" s="205" t="s">
        <v>17</v>
      </c>
      <c r="B3" s="198" t="s">
        <v>18</v>
      </c>
      <c r="C3" s="198" t="s">
        <v>573</v>
      </c>
      <c r="D3" s="198" t="s">
        <v>30</v>
      </c>
      <c r="E3" s="198" t="s">
        <v>572</v>
      </c>
      <c r="F3" s="198" t="s">
        <v>571</v>
      </c>
      <c r="G3" s="198" t="s">
        <v>606</v>
      </c>
      <c r="H3" s="198" t="s">
        <v>24</v>
      </c>
      <c r="I3" s="198" t="s">
        <v>607</v>
      </c>
      <c r="J3" s="198" t="s">
        <v>44</v>
      </c>
      <c r="K3" s="206" t="s">
        <v>582</v>
      </c>
      <c r="L3" s="205" t="s">
        <v>583</v>
      </c>
      <c r="M3" s="198" t="s">
        <v>110</v>
      </c>
      <c r="N3" s="198" t="s">
        <v>570</v>
      </c>
      <c r="O3" s="204" t="s">
        <v>603</v>
      </c>
      <c r="P3" s="204" t="s">
        <v>604</v>
      </c>
      <c r="Q3" s="204" t="s">
        <v>608</v>
      </c>
      <c r="R3" s="204" t="s">
        <v>605</v>
      </c>
      <c r="S3" s="198" t="s">
        <v>20</v>
      </c>
      <c r="T3" s="198" t="s">
        <v>21</v>
      </c>
      <c r="U3" s="198" t="s">
        <v>46</v>
      </c>
      <c r="V3" s="198" t="s">
        <v>550</v>
      </c>
      <c r="W3" s="204" t="s">
        <v>585</v>
      </c>
      <c r="X3" s="204" t="s">
        <v>613</v>
      </c>
      <c r="Y3" s="179" t="s">
        <v>614</v>
      </c>
    </row>
    <row r="4" spans="1:31" ht="51" x14ac:dyDescent="0.2">
      <c r="A4" s="200" t="s">
        <v>569</v>
      </c>
      <c r="B4" s="200" t="s">
        <v>568</v>
      </c>
      <c r="C4" s="200" t="s">
        <v>567</v>
      </c>
      <c r="D4" s="200" t="s">
        <v>9</v>
      </c>
      <c r="E4" s="200" t="s">
        <v>566</v>
      </c>
      <c r="F4" s="200" t="s">
        <v>41</v>
      </c>
      <c r="G4" s="200" t="s">
        <v>172</v>
      </c>
      <c r="H4" s="200" t="s">
        <v>172</v>
      </c>
      <c r="I4" s="200" t="s">
        <v>172</v>
      </c>
      <c r="J4" s="200" t="s">
        <v>172</v>
      </c>
      <c r="K4" s="203" t="s">
        <v>565</v>
      </c>
      <c r="L4" s="201" t="s">
        <v>564</v>
      </c>
      <c r="M4" s="201" t="s">
        <v>584</v>
      </c>
      <c r="N4" s="201" t="s">
        <v>563</v>
      </c>
      <c r="O4" s="202" t="s">
        <v>562</v>
      </c>
      <c r="P4" s="202" t="s">
        <v>562</v>
      </c>
      <c r="Q4" s="202" t="s">
        <v>562</v>
      </c>
      <c r="R4" s="202" t="s">
        <v>562</v>
      </c>
      <c r="S4" s="200" t="s">
        <v>561</v>
      </c>
      <c r="T4" s="200" t="s">
        <v>560</v>
      </c>
      <c r="U4" s="200"/>
      <c r="V4" s="200"/>
      <c r="W4" s="199" t="s">
        <v>102</v>
      </c>
      <c r="X4" s="199" t="s">
        <v>252</v>
      </c>
    </row>
    <row r="5" spans="1:31" ht="26.25" thickBot="1" x14ac:dyDescent="0.25">
      <c r="A5" s="197" t="s">
        <v>559</v>
      </c>
      <c r="B5" s="196"/>
      <c r="C5" s="196"/>
      <c r="D5" s="196"/>
      <c r="E5" s="196"/>
      <c r="F5" s="195" t="s">
        <v>74</v>
      </c>
      <c r="G5" s="195" t="s">
        <v>558</v>
      </c>
      <c r="H5" s="195" t="s">
        <v>558</v>
      </c>
      <c r="I5" s="195" t="s">
        <v>558</v>
      </c>
      <c r="J5" s="195" t="s">
        <v>558</v>
      </c>
      <c r="K5" s="194" t="s">
        <v>557</v>
      </c>
      <c r="L5" s="192" t="s">
        <v>557</v>
      </c>
      <c r="M5" s="192"/>
      <c r="N5" s="192"/>
      <c r="O5" s="193" t="s">
        <v>556</v>
      </c>
      <c r="P5" s="193" t="s">
        <v>556</v>
      </c>
      <c r="Q5" s="193" t="s">
        <v>556</v>
      </c>
      <c r="R5" s="193" t="s">
        <v>556</v>
      </c>
      <c r="S5" s="192" t="s">
        <v>556</v>
      </c>
      <c r="T5" s="192" t="s">
        <v>555</v>
      </c>
      <c r="U5" s="192" t="s">
        <v>74</v>
      </c>
      <c r="V5" s="192"/>
      <c r="W5" s="191" t="s">
        <v>554</v>
      </c>
      <c r="X5" s="191"/>
    </row>
    <row r="6" spans="1:31" x14ac:dyDescent="0.2">
      <c r="A6" s="184" t="s">
        <v>553</v>
      </c>
      <c r="B6" s="147" t="s">
        <v>575</v>
      </c>
      <c r="C6" s="147"/>
      <c r="D6" s="179" t="s">
        <v>578</v>
      </c>
      <c r="F6" s="187">
        <v>40</v>
      </c>
      <c r="G6" s="182">
        <v>0.8</v>
      </c>
      <c r="H6" s="182">
        <v>0.8</v>
      </c>
      <c r="I6" s="182">
        <v>0.8</v>
      </c>
      <c r="J6" s="182">
        <v>0.8</v>
      </c>
      <c r="K6" s="186">
        <v>0.9</v>
      </c>
      <c r="L6" s="182" t="str">
        <f>""</f>
        <v/>
      </c>
      <c r="M6" s="190"/>
      <c r="N6" s="188">
        <v>2080</v>
      </c>
      <c r="O6" s="183">
        <f>$O$1*'Hydrogen-Other'!R30</f>
        <v>180.92689199999998</v>
      </c>
      <c r="P6" s="183">
        <f>$O$1*'Hydrogen-Other'!S30</f>
        <v>140.72091599999999</v>
      </c>
      <c r="Q6" s="183"/>
      <c r="R6" s="183">
        <f>$O$1*'Hydrogen-Other'!T30</f>
        <v>100.51493999999998</v>
      </c>
      <c r="S6" s="182">
        <f>zar.2010*'Hydrogen-Other'!O71</f>
        <v>5.6165845756230484</v>
      </c>
      <c r="T6" s="182"/>
      <c r="U6" s="187">
        <v>-4</v>
      </c>
      <c r="V6" s="182" t="str">
        <f>""</f>
        <v/>
      </c>
      <c r="W6" s="183">
        <f>'Hydrogen-Other'!F39</f>
        <v>88.593333333333334</v>
      </c>
      <c r="X6" s="183">
        <f>'Hydrogen-Other'!F41</f>
        <v>1.2177777777777774</v>
      </c>
      <c r="Y6" s="185">
        <v>1</v>
      </c>
      <c r="Z6" s="185"/>
      <c r="AA6" s="185"/>
      <c r="AB6" s="185"/>
      <c r="AC6" s="185"/>
      <c r="AD6" s="185"/>
      <c r="AE6" s="185"/>
    </row>
    <row r="7" spans="1:31" x14ac:dyDescent="0.2">
      <c r="A7" s="184"/>
      <c r="C7" s="147"/>
      <c r="D7" s="179" t="s">
        <v>109</v>
      </c>
      <c r="F7" s="182"/>
      <c r="G7" s="182"/>
      <c r="H7" s="182"/>
      <c r="I7" s="182"/>
      <c r="J7" s="182"/>
      <c r="K7" s="186"/>
      <c r="L7" s="182"/>
      <c r="M7" s="190">
        <f>0.0634046419567962/G6</f>
        <v>7.9255802445995241E-2</v>
      </c>
      <c r="N7" s="182"/>
      <c r="O7" s="183"/>
      <c r="P7" s="183"/>
      <c r="Q7" s="183"/>
      <c r="R7" s="183"/>
      <c r="S7" s="182"/>
      <c r="T7" s="182"/>
      <c r="U7" s="182"/>
      <c r="V7" s="182"/>
      <c r="W7" s="183"/>
      <c r="X7" s="183"/>
      <c r="Y7" s="185"/>
      <c r="Z7" s="185"/>
      <c r="AA7" s="185"/>
      <c r="AB7" s="185"/>
      <c r="AC7" s="185"/>
      <c r="AD7" s="185"/>
      <c r="AE7" s="185"/>
    </row>
    <row r="8" spans="1:31" x14ac:dyDescent="0.2">
      <c r="C8" s="147"/>
      <c r="E8" s="179" t="s">
        <v>108</v>
      </c>
      <c r="F8" s="182"/>
      <c r="G8" s="182"/>
      <c r="H8" s="182"/>
      <c r="I8" s="182"/>
      <c r="J8" s="182"/>
      <c r="K8" s="186"/>
      <c r="L8" s="182"/>
      <c r="M8" s="182"/>
      <c r="N8" s="182"/>
      <c r="O8" s="183"/>
      <c r="P8" s="183"/>
      <c r="Q8" s="183"/>
      <c r="R8" s="183"/>
      <c r="S8" s="182"/>
      <c r="T8" s="182"/>
      <c r="U8" s="182"/>
      <c r="V8" s="182"/>
      <c r="W8" s="183"/>
      <c r="X8" s="183"/>
      <c r="Y8" s="185"/>
      <c r="Z8" s="185"/>
      <c r="AA8" s="185"/>
      <c r="AB8" s="185"/>
      <c r="AC8" s="185"/>
      <c r="AD8" s="185"/>
      <c r="AE8" s="185"/>
    </row>
    <row r="9" spans="1:31" x14ac:dyDescent="0.2">
      <c r="A9" s="184" t="s">
        <v>6</v>
      </c>
      <c r="B9" s="147"/>
      <c r="C9" s="147"/>
      <c r="F9" s="182"/>
      <c r="G9" s="182"/>
      <c r="H9" s="182"/>
      <c r="I9" s="182"/>
      <c r="J9" s="182"/>
      <c r="K9" s="186"/>
      <c r="L9" s="182"/>
      <c r="M9" s="182"/>
      <c r="N9" s="182"/>
      <c r="O9" s="183"/>
      <c r="P9" s="183"/>
      <c r="Q9" s="183"/>
      <c r="R9" s="183"/>
      <c r="S9" s="182"/>
      <c r="T9" s="182"/>
      <c r="U9" s="182"/>
      <c r="V9" s="182"/>
      <c r="W9" s="183"/>
      <c r="X9" s="183"/>
      <c r="Y9" s="185"/>
      <c r="Z9" s="185"/>
      <c r="AA9" s="185"/>
      <c r="AB9" s="185"/>
      <c r="AC9" s="185"/>
      <c r="AD9" s="185"/>
      <c r="AE9" s="185"/>
    </row>
    <row r="10" spans="1:31" x14ac:dyDescent="0.2">
      <c r="A10" s="184" t="s">
        <v>552</v>
      </c>
      <c r="B10" s="147" t="s">
        <v>576</v>
      </c>
      <c r="C10" s="147"/>
      <c r="D10" s="179" t="s">
        <v>579</v>
      </c>
      <c r="F10" s="187">
        <v>40</v>
      </c>
      <c r="G10" s="182">
        <v>0.8</v>
      </c>
      <c r="H10" s="182">
        <v>0.8</v>
      </c>
      <c r="I10" s="182">
        <v>0.8</v>
      </c>
      <c r="J10" s="182">
        <v>0.8</v>
      </c>
      <c r="K10" s="186">
        <v>0.9</v>
      </c>
      <c r="L10" s="182" t="str">
        <f>""</f>
        <v/>
      </c>
      <c r="M10" s="182"/>
      <c r="N10" s="188">
        <v>2080</v>
      </c>
      <c r="O10" s="183">
        <f>O6</f>
        <v>180.92689199999998</v>
      </c>
      <c r="P10" s="183">
        <f t="shared" ref="P10:R10" si="0">P6</f>
        <v>140.72091599999999</v>
      </c>
      <c r="Q10" s="183"/>
      <c r="R10" s="183">
        <f t="shared" si="0"/>
        <v>100.51493999999998</v>
      </c>
      <c r="S10" s="189">
        <f>S6</f>
        <v>5.6165845756230484</v>
      </c>
      <c r="T10" s="182"/>
      <c r="U10" s="187">
        <v>-4</v>
      </c>
      <c r="V10" s="182" t="str">
        <f>""</f>
        <v/>
      </c>
      <c r="W10" s="183">
        <f>W6</f>
        <v>88.593333333333334</v>
      </c>
      <c r="X10" s="183">
        <f>X6</f>
        <v>1.2177777777777774</v>
      </c>
      <c r="Y10" s="185">
        <v>1</v>
      </c>
      <c r="Z10" s="185"/>
      <c r="AA10" s="185"/>
      <c r="AB10" s="185"/>
      <c r="AC10" s="185"/>
      <c r="AD10" s="185"/>
      <c r="AE10" s="185"/>
    </row>
    <row r="11" spans="1:31" x14ac:dyDescent="0.2">
      <c r="A11" s="184"/>
      <c r="B11" s="147"/>
      <c r="C11" s="147"/>
      <c r="D11" s="179" t="s">
        <v>109</v>
      </c>
      <c r="F11" s="182"/>
      <c r="G11" s="182"/>
      <c r="H11" s="182"/>
      <c r="I11" s="182"/>
      <c r="J11" s="182"/>
      <c r="K11" s="186"/>
      <c r="L11" s="182"/>
      <c r="M11" s="182">
        <f>M7</f>
        <v>7.9255802445995241E-2</v>
      </c>
      <c r="N11" s="182"/>
      <c r="O11" s="183"/>
      <c r="P11" s="183"/>
      <c r="Q11" s="183"/>
      <c r="R11" s="183"/>
      <c r="S11" s="182"/>
      <c r="T11" s="182"/>
      <c r="U11" s="182"/>
      <c r="V11" s="182"/>
      <c r="W11" s="183"/>
      <c r="X11" s="183"/>
      <c r="Y11" s="185"/>
      <c r="Z11" s="185"/>
      <c r="AA11" s="185"/>
      <c r="AB11" s="185"/>
      <c r="AC11" s="185"/>
      <c r="AD11" s="185"/>
      <c r="AE11" s="185"/>
    </row>
    <row r="12" spans="1:31" x14ac:dyDescent="0.2">
      <c r="B12" s="147"/>
      <c r="C12" s="147"/>
      <c r="E12" s="179" t="s">
        <v>108</v>
      </c>
      <c r="F12" s="182"/>
      <c r="G12" s="182"/>
      <c r="H12" s="182"/>
      <c r="I12" s="182"/>
      <c r="J12" s="182"/>
      <c r="K12" s="186"/>
      <c r="L12" s="182"/>
      <c r="M12" s="182"/>
      <c r="N12" s="182"/>
      <c r="O12" s="183"/>
      <c r="P12" s="183"/>
      <c r="Q12" s="183"/>
      <c r="R12" s="183"/>
      <c r="S12" s="182"/>
      <c r="T12" s="182"/>
      <c r="U12" s="182"/>
      <c r="V12" s="182"/>
      <c r="W12" s="183"/>
      <c r="X12" s="183"/>
      <c r="Y12" s="185"/>
      <c r="Z12" s="185"/>
      <c r="AA12" s="185"/>
      <c r="AB12" s="185"/>
      <c r="AC12" s="185"/>
      <c r="AD12" s="185"/>
      <c r="AE12" s="185"/>
    </row>
    <row r="13" spans="1:31" x14ac:dyDescent="0.2">
      <c r="A13" s="184" t="s">
        <v>6</v>
      </c>
      <c r="B13" s="147"/>
      <c r="C13" s="147"/>
      <c r="F13" s="182"/>
      <c r="G13" s="182"/>
      <c r="H13" s="182"/>
      <c r="I13" s="182"/>
      <c r="J13" s="182"/>
      <c r="K13" s="186"/>
      <c r="L13" s="182"/>
      <c r="M13" s="182"/>
      <c r="N13" s="182"/>
      <c r="O13" s="183"/>
      <c r="P13" s="183"/>
      <c r="Q13" s="183"/>
      <c r="R13" s="183"/>
      <c r="S13" s="182"/>
      <c r="T13" s="182"/>
      <c r="U13" s="182"/>
      <c r="V13" s="182"/>
      <c r="W13" s="183"/>
      <c r="X13" s="183"/>
      <c r="Y13" s="185"/>
      <c r="Z13" s="185"/>
      <c r="AA13" s="185"/>
      <c r="AB13" s="185"/>
      <c r="AC13" s="185"/>
      <c r="AD13" s="185"/>
      <c r="AE13" s="185"/>
    </row>
    <row r="14" spans="1:31" x14ac:dyDescent="0.2">
      <c r="A14" s="184" t="s">
        <v>551</v>
      </c>
      <c r="B14" s="147" t="s">
        <v>577</v>
      </c>
      <c r="C14" s="147"/>
      <c r="D14" s="179" t="s">
        <v>580</v>
      </c>
      <c r="F14" s="187">
        <v>40</v>
      </c>
      <c r="G14" s="182">
        <v>0.56000000000000005</v>
      </c>
      <c r="H14" s="182">
        <v>0.56000000000000005</v>
      </c>
      <c r="I14" s="182">
        <v>0.56000000000000005</v>
      </c>
      <c r="J14" s="182">
        <v>0.56000000000000005</v>
      </c>
      <c r="K14" s="186">
        <v>0.9</v>
      </c>
      <c r="L14" s="182" t="str">
        <f>""</f>
        <v/>
      </c>
      <c r="M14" s="182"/>
      <c r="N14" s="188">
        <v>2080</v>
      </c>
      <c r="O14" s="183">
        <f>$O$1*'Hydrogen-Other'!R28</f>
        <v>623.1926279999999</v>
      </c>
      <c r="P14" s="183">
        <f>$O$1*'Hydrogen-Other'!S28</f>
        <v>542.78067599999986</v>
      </c>
      <c r="Q14" s="183"/>
      <c r="R14" s="183">
        <f>$O$1*'Hydrogen-Other'!T28</f>
        <v>482.47171199999985</v>
      </c>
      <c r="S14" s="182">
        <f>zar.2010*'Hydrogen-Other'!O69</f>
        <v>28.082922878115237</v>
      </c>
      <c r="T14" s="182"/>
      <c r="U14" s="187">
        <v>-4</v>
      </c>
      <c r="V14" s="182" t="str">
        <f>""</f>
        <v/>
      </c>
      <c r="W14" s="183">
        <f>'Hydrogen-Other'!B93</f>
        <v>180.83333333333331</v>
      </c>
      <c r="X14" s="183"/>
      <c r="Y14" s="185">
        <v>1</v>
      </c>
      <c r="Z14" s="185"/>
      <c r="AA14" s="185"/>
      <c r="AB14" s="185"/>
      <c r="AC14" s="185"/>
      <c r="AD14" s="185"/>
      <c r="AE14" s="185"/>
    </row>
    <row r="15" spans="1:31" x14ac:dyDescent="0.2">
      <c r="A15" s="184"/>
      <c r="B15" s="147"/>
      <c r="C15" s="147"/>
      <c r="D15" s="179" t="s">
        <v>109</v>
      </c>
      <c r="F15" s="182"/>
      <c r="G15" s="182"/>
      <c r="H15" s="182"/>
      <c r="I15" s="182"/>
      <c r="J15" s="182"/>
      <c r="K15" s="186"/>
      <c r="L15" s="182"/>
      <c r="M15" s="182">
        <f>M7</f>
        <v>7.9255802445995241E-2</v>
      </c>
      <c r="N15" s="182"/>
      <c r="O15" s="183"/>
      <c r="P15" s="183"/>
      <c r="Q15" s="183"/>
      <c r="R15" s="183"/>
      <c r="S15" s="182"/>
      <c r="T15" s="182"/>
      <c r="U15" s="182"/>
      <c r="V15" s="182"/>
      <c r="W15" s="183"/>
      <c r="X15" s="183"/>
      <c r="Y15" s="185"/>
      <c r="Z15" s="185"/>
      <c r="AA15" s="185"/>
      <c r="AB15" s="185"/>
      <c r="AC15" s="185"/>
      <c r="AD15" s="185"/>
      <c r="AE15" s="185"/>
    </row>
    <row r="16" spans="1:31" x14ac:dyDescent="0.2">
      <c r="B16" s="147"/>
      <c r="C16" s="147"/>
      <c r="E16" s="179" t="s">
        <v>108</v>
      </c>
      <c r="F16" s="182"/>
      <c r="G16" s="182"/>
      <c r="H16" s="182"/>
      <c r="I16" s="182"/>
      <c r="J16" s="182"/>
      <c r="K16" s="186"/>
      <c r="L16" s="182"/>
      <c r="M16" s="182"/>
      <c r="N16" s="182"/>
      <c r="O16" s="183"/>
      <c r="P16" s="183"/>
      <c r="Q16" s="183"/>
      <c r="R16" s="183"/>
      <c r="S16" s="182"/>
      <c r="T16" s="182"/>
      <c r="U16" s="182"/>
      <c r="V16" s="182"/>
      <c r="W16" s="183"/>
      <c r="X16" s="183"/>
      <c r="Y16" s="185"/>
      <c r="Z16" s="185"/>
      <c r="AA16" s="185"/>
      <c r="AB16" s="185"/>
      <c r="AC16" s="185"/>
      <c r="AD16" s="185"/>
      <c r="AE16" s="185"/>
    </row>
    <row r="17" spans="1:31" x14ac:dyDescent="0.2">
      <c r="Z17" s="185"/>
      <c r="AA17" s="185"/>
      <c r="AB17" s="185"/>
      <c r="AC17" s="185"/>
      <c r="AD17" s="185"/>
      <c r="AE17" s="185"/>
    </row>
    <row r="18" spans="1:31" x14ac:dyDescent="0.2">
      <c r="Z18" s="185"/>
      <c r="AA18" s="185"/>
      <c r="AB18" s="185"/>
      <c r="AC18" s="185"/>
      <c r="AD18" s="185"/>
      <c r="AE18" s="185"/>
    </row>
    <row r="19" spans="1:31" x14ac:dyDescent="0.2">
      <c r="Z19" s="185"/>
      <c r="AA19" s="185"/>
      <c r="AB19" s="185"/>
      <c r="AC19" s="185"/>
      <c r="AD19" s="185"/>
      <c r="AE19" s="185"/>
    </row>
    <row r="20" spans="1:31" x14ac:dyDescent="0.2">
      <c r="Z20" s="185"/>
      <c r="AA20" s="185"/>
      <c r="AB20" s="185"/>
      <c r="AC20" s="185"/>
      <c r="AD20" s="185"/>
      <c r="AE20" s="185"/>
    </row>
    <row r="21" spans="1:31" x14ac:dyDescent="0.2">
      <c r="A21" s="184"/>
      <c r="B21" s="147"/>
      <c r="C21" s="147"/>
      <c r="F21" s="182"/>
      <c r="G21" s="182"/>
      <c r="H21" s="182"/>
      <c r="I21" s="182"/>
      <c r="J21" s="182"/>
      <c r="K21" s="186"/>
      <c r="L21" s="182"/>
      <c r="M21" s="182"/>
      <c r="N21" s="182"/>
      <c r="O21" s="183"/>
      <c r="P21" s="183"/>
      <c r="Q21" s="183"/>
      <c r="R21" s="183"/>
      <c r="S21" s="182"/>
      <c r="T21" s="182"/>
      <c r="U21" s="182"/>
      <c r="V21" s="182"/>
      <c r="W21" s="183"/>
      <c r="X21" s="183"/>
      <c r="Y21" s="185"/>
      <c r="Z21" s="185"/>
      <c r="AA21" s="185"/>
      <c r="AB21" s="185"/>
      <c r="AC21" s="185"/>
      <c r="AD21" s="185"/>
      <c r="AE21" s="185"/>
    </row>
    <row r="22" spans="1:31" x14ac:dyDescent="0.2">
      <c r="F22" s="187"/>
      <c r="G22" s="182"/>
      <c r="H22" s="182"/>
      <c r="I22" s="182"/>
      <c r="J22" s="182"/>
      <c r="K22" s="186"/>
      <c r="L22" s="182"/>
      <c r="M22" s="182"/>
      <c r="N22" s="187"/>
      <c r="O22" s="183"/>
      <c r="P22" s="183"/>
      <c r="Q22" s="183"/>
      <c r="R22" s="183"/>
      <c r="S22" s="182"/>
      <c r="T22" s="182"/>
      <c r="U22" s="187"/>
      <c r="V22" s="182"/>
      <c r="W22" s="183"/>
      <c r="X22" s="183"/>
      <c r="Y22" s="185"/>
      <c r="Z22" s="185"/>
      <c r="AA22" s="185"/>
      <c r="AB22" s="185"/>
      <c r="AC22" s="185"/>
      <c r="AD22" s="185"/>
      <c r="AE22" s="185"/>
    </row>
    <row r="23" spans="1:31" x14ac:dyDescent="0.2">
      <c r="L23" s="182"/>
      <c r="M23" s="182"/>
      <c r="N23" s="182"/>
      <c r="T23" s="182"/>
      <c r="V23" s="182"/>
      <c r="W23" s="183"/>
      <c r="X23" s="183"/>
      <c r="Y23" s="185"/>
      <c r="Z23" s="185"/>
      <c r="AA23" s="185"/>
      <c r="AB23" s="185"/>
      <c r="AC23" s="185"/>
      <c r="AD23" s="185"/>
      <c r="AE23" s="185"/>
    </row>
    <row r="24" spans="1:31" x14ac:dyDescent="0.2">
      <c r="F24" s="182"/>
      <c r="G24" s="182"/>
      <c r="H24" s="182"/>
      <c r="I24" s="182"/>
      <c r="J24" s="182"/>
      <c r="K24" s="186"/>
      <c r="L24" s="182"/>
      <c r="M24" s="182"/>
      <c r="N24" s="182"/>
      <c r="O24" s="183"/>
      <c r="P24" s="183"/>
      <c r="Q24" s="183"/>
      <c r="R24" s="183"/>
      <c r="S24" s="182"/>
      <c r="T24" s="182"/>
      <c r="U24" s="182"/>
      <c r="V24" s="182"/>
      <c r="W24" s="183"/>
      <c r="X24" s="183"/>
      <c r="Y24" s="185"/>
      <c r="Z24" s="185"/>
      <c r="AA24" s="185"/>
      <c r="AB24" s="185"/>
      <c r="AC24" s="185"/>
      <c r="AD24" s="185"/>
      <c r="AE24" s="185"/>
    </row>
    <row r="25" spans="1:31" x14ac:dyDescent="0.2">
      <c r="F25" s="187"/>
      <c r="G25" s="182"/>
      <c r="H25" s="182"/>
      <c r="I25" s="182"/>
      <c r="J25" s="182"/>
      <c r="K25" s="186"/>
      <c r="L25" s="182"/>
      <c r="M25" s="182"/>
      <c r="N25" s="187"/>
      <c r="O25" s="183"/>
      <c r="P25" s="183"/>
      <c r="Q25" s="183"/>
      <c r="R25" s="183"/>
      <c r="S25" s="182"/>
      <c r="T25" s="182"/>
      <c r="U25" s="187"/>
      <c r="V25" s="182"/>
      <c r="W25" s="183"/>
      <c r="X25" s="183"/>
      <c r="Y25" s="185"/>
    </row>
    <row r="26" spans="1:31" x14ac:dyDescent="0.2">
      <c r="F26" s="182"/>
      <c r="G26" s="182"/>
      <c r="H26" s="182"/>
      <c r="I26" s="182"/>
      <c r="J26" s="182"/>
      <c r="K26" s="186"/>
      <c r="L26" s="182"/>
      <c r="M26" s="182"/>
      <c r="N26" s="182"/>
      <c r="O26" s="183"/>
      <c r="P26" s="183"/>
      <c r="Q26" s="183"/>
      <c r="R26" s="183"/>
      <c r="S26" s="182"/>
      <c r="T26" s="182"/>
      <c r="V26" s="182"/>
      <c r="W26" s="183"/>
      <c r="X26" s="183"/>
      <c r="Y26" s="185"/>
    </row>
    <row r="27" spans="1:31" x14ac:dyDescent="0.2">
      <c r="F27" s="182"/>
      <c r="G27" s="182"/>
      <c r="H27" s="182"/>
      <c r="I27" s="182"/>
      <c r="J27" s="182"/>
      <c r="K27" s="186"/>
      <c r="L27" s="182"/>
      <c r="M27" s="182"/>
      <c r="N27" s="182"/>
      <c r="O27" s="183"/>
      <c r="P27" s="183"/>
      <c r="Q27" s="183"/>
      <c r="R27" s="183"/>
      <c r="S27" s="182"/>
      <c r="T27" s="182"/>
      <c r="U27" s="182"/>
      <c r="V27" s="182"/>
      <c r="W27" s="183"/>
      <c r="X27" s="183"/>
      <c r="Y27" s="185"/>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97615-DBD9-4E14-AA31-7EA4B185DC7E}">
  <sheetPr>
    <tabColor theme="4"/>
  </sheetPr>
  <dimension ref="B2:R84"/>
  <sheetViews>
    <sheetView topLeftCell="A40" zoomScaleNormal="100" workbookViewId="0">
      <selection activeCell="M80" sqref="M80"/>
    </sheetView>
  </sheetViews>
  <sheetFormatPr defaultRowHeight="15" x14ac:dyDescent="0.25"/>
  <cols>
    <col min="4" max="4" width="16.85546875" customWidth="1"/>
    <col min="5" max="5" width="14" customWidth="1"/>
    <col min="6" max="11" width="10.5703125" customWidth="1"/>
    <col min="17" max="17" width="14.5703125" customWidth="1"/>
    <col min="23" max="23" width="11.42578125" customWidth="1"/>
  </cols>
  <sheetData>
    <row r="2" spans="2:13" x14ac:dyDescent="0.25">
      <c r="B2" t="s">
        <v>627</v>
      </c>
    </row>
    <row r="3" spans="2:13" x14ac:dyDescent="0.25">
      <c r="B3" s="271"/>
      <c r="C3" s="272"/>
      <c r="D3" s="272"/>
      <c r="E3" s="272"/>
      <c r="F3" s="272"/>
      <c r="G3" s="272"/>
      <c r="H3" s="272"/>
      <c r="I3" s="272"/>
      <c r="J3" s="272"/>
      <c r="K3" s="272"/>
      <c r="L3" s="272"/>
      <c r="M3" s="268"/>
    </row>
    <row r="4" spans="2:13" x14ac:dyDescent="0.25">
      <c r="B4" s="269"/>
      <c r="M4" s="255"/>
    </row>
    <row r="5" spans="2:13" x14ac:dyDescent="0.25">
      <c r="B5" s="269"/>
      <c r="M5" s="255"/>
    </row>
    <row r="6" spans="2:13" x14ac:dyDescent="0.25">
      <c r="B6" s="269"/>
      <c r="M6" s="255"/>
    </row>
    <row r="7" spans="2:13" x14ac:dyDescent="0.25">
      <c r="B7" s="269"/>
      <c r="M7" s="255"/>
    </row>
    <row r="8" spans="2:13" x14ac:dyDescent="0.25">
      <c r="B8" s="269"/>
      <c r="M8" s="255"/>
    </row>
    <row r="9" spans="2:13" x14ac:dyDescent="0.25">
      <c r="B9" s="269"/>
      <c r="M9" s="255"/>
    </row>
    <row r="10" spans="2:13" x14ac:dyDescent="0.25">
      <c r="B10" s="269"/>
      <c r="M10" s="255"/>
    </row>
    <row r="11" spans="2:13" x14ac:dyDescent="0.25">
      <c r="B11" s="269"/>
      <c r="M11" s="255"/>
    </row>
    <row r="12" spans="2:13" x14ac:dyDescent="0.25">
      <c r="B12" s="269"/>
      <c r="M12" s="255"/>
    </row>
    <row r="13" spans="2:13" x14ac:dyDescent="0.25">
      <c r="B13" s="269"/>
      <c r="M13" s="255"/>
    </row>
    <row r="14" spans="2:13" x14ac:dyDescent="0.25">
      <c r="B14" s="269"/>
      <c r="M14" s="255"/>
    </row>
    <row r="15" spans="2:13" x14ac:dyDescent="0.25">
      <c r="B15" s="269"/>
      <c r="M15" s="255"/>
    </row>
    <row r="16" spans="2:13" x14ac:dyDescent="0.25">
      <c r="B16" s="269"/>
      <c r="M16" s="255"/>
    </row>
    <row r="17" spans="2:13" x14ac:dyDescent="0.25">
      <c r="B17" s="269"/>
      <c r="M17" s="255"/>
    </row>
    <row r="18" spans="2:13" x14ac:dyDescent="0.25">
      <c r="B18" s="269"/>
      <c r="M18" s="255"/>
    </row>
    <row r="19" spans="2:13" x14ac:dyDescent="0.25">
      <c r="B19" s="269"/>
      <c r="M19" s="255"/>
    </row>
    <row r="20" spans="2:13" x14ac:dyDescent="0.25">
      <c r="B20" s="269"/>
      <c r="L20" s="29"/>
      <c r="M20" s="277"/>
    </row>
    <row r="21" spans="2:13" x14ac:dyDescent="0.25">
      <c r="B21" s="269"/>
      <c r="L21" s="29"/>
      <c r="M21" s="277"/>
    </row>
    <row r="22" spans="2:13" x14ac:dyDescent="0.25">
      <c r="B22" s="269"/>
      <c r="M22" s="255"/>
    </row>
    <row r="23" spans="2:13" x14ac:dyDescent="0.25">
      <c r="B23" s="269"/>
      <c r="L23" s="29"/>
      <c r="M23" s="255"/>
    </row>
    <row r="24" spans="2:13" x14ac:dyDescent="0.25">
      <c r="B24" s="269"/>
      <c r="M24" s="255"/>
    </row>
    <row r="25" spans="2:13" x14ac:dyDescent="0.25">
      <c r="B25" s="269"/>
      <c r="L25" s="29"/>
      <c r="M25" s="255"/>
    </row>
    <row r="26" spans="2:13" x14ac:dyDescent="0.25">
      <c r="B26" s="269"/>
      <c r="M26" s="255"/>
    </row>
    <row r="27" spans="2:13" x14ac:dyDescent="0.25">
      <c r="B27" s="269"/>
      <c r="L27" s="29"/>
      <c r="M27" s="255"/>
    </row>
    <row r="28" spans="2:13" x14ac:dyDescent="0.25">
      <c r="B28" s="269"/>
      <c r="M28" s="255"/>
    </row>
    <row r="29" spans="2:13" x14ac:dyDescent="0.25">
      <c r="B29" s="269"/>
      <c r="L29" s="29"/>
      <c r="M29" s="255"/>
    </row>
    <row r="30" spans="2:13" x14ac:dyDescent="0.25">
      <c r="B30" s="269"/>
      <c r="M30" s="255"/>
    </row>
    <row r="31" spans="2:13" x14ac:dyDescent="0.25">
      <c r="B31" s="269"/>
      <c r="M31" s="255"/>
    </row>
    <row r="32" spans="2:13" x14ac:dyDescent="0.25">
      <c r="B32" s="269"/>
      <c r="E32" s="255"/>
      <c r="F32" s="16" t="s">
        <v>376</v>
      </c>
      <c r="G32" s="16"/>
      <c r="H32" s="274"/>
      <c r="I32" s="16" t="s">
        <v>363</v>
      </c>
      <c r="K32" s="255"/>
      <c r="M32" s="255"/>
    </row>
    <row r="33" spans="2:16" x14ac:dyDescent="0.25">
      <c r="B33" s="269"/>
      <c r="D33" s="20"/>
      <c r="E33" s="256" t="s">
        <v>615</v>
      </c>
      <c r="F33" s="20" t="s">
        <v>616</v>
      </c>
      <c r="G33" s="20">
        <v>2030</v>
      </c>
      <c r="H33" s="256" t="s">
        <v>617</v>
      </c>
      <c r="I33" s="20" t="s">
        <v>616</v>
      </c>
      <c r="J33" s="20">
        <v>2030</v>
      </c>
      <c r="K33" s="256" t="s">
        <v>617</v>
      </c>
      <c r="M33" s="255"/>
    </row>
    <row r="34" spans="2:16" x14ac:dyDescent="0.25">
      <c r="B34" s="269"/>
      <c r="D34" t="s">
        <v>618</v>
      </c>
      <c r="E34" s="255" t="s">
        <v>619</v>
      </c>
      <c r="F34" s="29">
        <v>0.63</v>
      </c>
      <c r="G34" s="29">
        <v>0.65</v>
      </c>
      <c r="H34" s="277">
        <v>0.7</v>
      </c>
      <c r="I34" s="29">
        <v>0.56000000000000005</v>
      </c>
      <c r="J34" s="273">
        <v>0.63</v>
      </c>
      <c r="K34" s="277">
        <v>0.67</v>
      </c>
      <c r="M34" s="255"/>
    </row>
    <row r="35" spans="2:16" x14ac:dyDescent="0.25">
      <c r="B35" s="269"/>
      <c r="E35" s="255" t="s">
        <v>620</v>
      </c>
      <c r="F35" s="29">
        <v>0.7</v>
      </c>
      <c r="G35" s="29">
        <v>0.71</v>
      </c>
      <c r="H35" s="277">
        <v>0.8</v>
      </c>
      <c r="I35" s="29">
        <v>0.6</v>
      </c>
      <c r="J35" s="29">
        <v>0.68</v>
      </c>
      <c r="K35" s="277">
        <v>0.74</v>
      </c>
      <c r="M35" s="255"/>
    </row>
    <row r="36" spans="2:16" x14ac:dyDescent="0.25">
      <c r="B36" s="269"/>
      <c r="D36" s="20"/>
      <c r="E36" s="256" t="s">
        <v>621</v>
      </c>
      <c r="F36" s="275">
        <f>AVERAGE(F34:F35)</f>
        <v>0.66500000000000004</v>
      </c>
      <c r="G36" s="275">
        <f t="shared" ref="G36:K36" si="0">AVERAGE(G34:G35)</f>
        <v>0.67999999999999994</v>
      </c>
      <c r="H36" s="276">
        <f t="shared" si="0"/>
        <v>0.75</v>
      </c>
      <c r="I36" s="275">
        <f t="shared" si="0"/>
        <v>0.58000000000000007</v>
      </c>
      <c r="J36" s="275">
        <f t="shared" si="0"/>
        <v>0.65500000000000003</v>
      </c>
      <c r="K36" s="276">
        <f t="shared" si="0"/>
        <v>0.70500000000000007</v>
      </c>
      <c r="M36" s="255"/>
    </row>
    <row r="37" spans="2:16" x14ac:dyDescent="0.25">
      <c r="B37" s="269"/>
      <c r="D37" t="s">
        <v>622</v>
      </c>
      <c r="E37" s="255" t="s">
        <v>619</v>
      </c>
      <c r="F37" s="264">
        <v>500</v>
      </c>
      <c r="G37" s="264">
        <v>400</v>
      </c>
      <c r="H37" s="262">
        <v>200</v>
      </c>
      <c r="I37" s="264">
        <v>1100</v>
      </c>
      <c r="J37" s="264">
        <v>650</v>
      </c>
      <c r="K37" s="262">
        <v>200</v>
      </c>
      <c r="M37" s="255"/>
    </row>
    <row r="38" spans="2:16" x14ac:dyDescent="0.25">
      <c r="B38" s="269"/>
      <c r="E38" s="255" t="s">
        <v>620</v>
      </c>
      <c r="F38" s="264">
        <v>1400</v>
      </c>
      <c r="G38" s="264">
        <v>850</v>
      </c>
      <c r="H38" s="262">
        <v>700</v>
      </c>
      <c r="I38" s="264">
        <v>1800</v>
      </c>
      <c r="J38" s="264">
        <v>1500</v>
      </c>
      <c r="K38" s="262">
        <v>900</v>
      </c>
      <c r="M38" s="255"/>
      <c r="P38" t="s">
        <v>629</v>
      </c>
    </row>
    <row r="39" spans="2:16" x14ac:dyDescent="0.25">
      <c r="B39" s="269"/>
      <c r="D39" s="20"/>
      <c r="E39" s="256" t="s">
        <v>621</v>
      </c>
      <c r="F39" s="263">
        <f t="shared" ref="F39:K39" si="1">AVERAGE(F37:F38)</f>
        <v>950</v>
      </c>
      <c r="G39" s="263">
        <f t="shared" si="1"/>
        <v>625</v>
      </c>
      <c r="H39" s="267">
        <f t="shared" si="1"/>
        <v>450</v>
      </c>
      <c r="I39" s="263">
        <f t="shared" si="1"/>
        <v>1450</v>
      </c>
      <c r="J39" s="263">
        <f t="shared" si="1"/>
        <v>1075</v>
      </c>
      <c r="K39" s="267">
        <f t="shared" si="1"/>
        <v>550</v>
      </c>
      <c r="M39" s="255"/>
    </row>
    <row r="40" spans="2:16" x14ac:dyDescent="0.25">
      <c r="B40" s="269"/>
      <c r="D40" t="s">
        <v>624</v>
      </c>
      <c r="E40" s="255" t="s">
        <v>619</v>
      </c>
      <c r="F40" s="264">
        <v>60000</v>
      </c>
      <c r="G40" s="264">
        <v>90000</v>
      </c>
      <c r="H40" s="262">
        <v>100000</v>
      </c>
      <c r="I40" s="264">
        <v>30000</v>
      </c>
      <c r="J40" s="264">
        <v>60000</v>
      </c>
      <c r="K40" s="262">
        <v>100000</v>
      </c>
      <c r="M40" s="255"/>
    </row>
    <row r="41" spans="2:16" x14ac:dyDescent="0.25">
      <c r="B41" s="269"/>
      <c r="E41" s="255" t="s">
        <v>620</v>
      </c>
      <c r="F41" s="264">
        <v>90000</v>
      </c>
      <c r="G41" s="264">
        <v>100000</v>
      </c>
      <c r="H41" s="262">
        <v>150000</v>
      </c>
      <c r="I41" s="264">
        <v>90000</v>
      </c>
      <c r="J41" s="264">
        <v>90000</v>
      </c>
      <c r="K41" s="262">
        <v>150000</v>
      </c>
      <c r="M41" s="255"/>
    </row>
    <row r="42" spans="2:16" x14ac:dyDescent="0.25">
      <c r="B42" s="269"/>
      <c r="D42" s="20"/>
      <c r="E42" s="256" t="s">
        <v>621</v>
      </c>
      <c r="F42" s="263">
        <f t="shared" ref="F42:K42" si="2">AVERAGE(F40:F41)</f>
        <v>75000</v>
      </c>
      <c r="G42" s="263">
        <f t="shared" si="2"/>
        <v>95000</v>
      </c>
      <c r="H42" s="267">
        <f t="shared" si="2"/>
        <v>125000</v>
      </c>
      <c r="I42" s="263">
        <f t="shared" si="2"/>
        <v>60000</v>
      </c>
      <c r="J42" s="263">
        <f t="shared" si="2"/>
        <v>75000</v>
      </c>
      <c r="K42" s="267">
        <f t="shared" si="2"/>
        <v>125000</v>
      </c>
      <c r="M42" s="255"/>
    </row>
    <row r="43" spans="2:16" x14ac:dyDescent="0.25">
      <c r="B43" s="269"/>
      <c r="L43" s="29"/>
      <c r="M43" s="255"/>
    </row>
    <row r="44" spans="2:16" x14ac:dyDescent="0.25">
      <c r="B44" s="270"/>
      <c r="C44" s="20"/>
      <c r="D44" s="20"/>
      <c r="E44" s="20"/>
      <c r="F44" s="20"/>
      <c r="G44" s="20"/>
      <c r="H44" s="20"/>
      <c r="I44" s="20"/>
      <c r="J44" s="20"/>
      <c r="K44" s="20"/>
      <c r="L44" s="20"/>
      <c r="M44" s="256"/>
    </row>
    <row r="45" spans="2:16" x14ac:dyDescent="0.25">
      <c r="L45" s="29"/>
    </row>
    <row r="48" spans="2:16" x14ac:dyDescent="0.25">
      <c r="E48" s="255"/>
      <c r="F48" s="289" t="s">
        <v>376</v>
      </c>
      <c r="G48" s="290"/>
      <c r="H48" s="291"/>
      <c r="I48" s="289" t="s">
        <v>363</v>
      </c>
      <c r="J48" s="290"/>
      <c r="K48" s="291"/>
    </row>
    <row r="49" spans="2:18" x14ac:dyDescent="0.25">
      <c r="D49" s="20"/>
      <c r="E49" s="256" t="s">
        <v>615</v>
      </c>
      <c r="F49" s="281" t="s">
        <v>616</v>
      </c>
      <c r="G49" s="281">
        <v>2030</v>
      </c>
      <c r="H49" s="283" t="s">
        <v>617</v>
      </c>
      <c r="I49" s="281" t="s">
        <v>616</v>
      </c>
      <c r="J49" s="281">
        <v>2030</v>
      </c>
      <c r="K49" s="283" t="s">
        <v>617</v>
      </c>
    </row>
    <row r="50" spans="2:18" x14ac:dyDescent="0.25">
      <c r="D50" s="286" t="s">
        <v>623</v>
      </c>
      <c r="E50" s="255" t="s">
        <v>619</v>
      </c>
      <c r="F50" s="263">
        <f t="shared" ref="F50:K52" si="3">F37*$Q$51</f>
        <v>8867.1332627331067</v>
      </c>
      <c r="G50" s="263">
        <f t="shared" si="3"/>
        <v>7093.7066101864857</v>
      </c>
      <c r="H50" s="267">
        <f t="shared" si="3"/>
        <v>3546.8533050932429</v>
      </c>
      <c r="I50" s="265">
        <f t="shared" si="3"/>
        <v>19507.693178012836</v>
      </c>
      <c r="J50" s="263">
        <f t="shared" si="3"/>
        <v>11527.273241553039</v>
      </c>
      <c r="K50" s="267">
        <f t="shared" si="3"/>
        <v>3546.8533050932429</v>
      </c>
      <c r="P50" t="s">
        <v>628</v>
      </c>
    </row>
    <row r="51" spans="2:18" x14ac:dyDescent="0.25">
      <c r="D51" s="287"/>
      <c r="E51" s="255" t="s">
        <v>620</v>
      </c>
      <c r="F51" s="263">
        <f t="shared" si="3"/>
        <v>24827.973135652701</v>
      </c>
      <c r="G51" s="263">
        <f t="shared" si="3"/>
        <v>15074.126546646283</v>
      </c>
      <c r="H51" s="267">
        <f t="shared" si="3"/>
        <v>12413.98656782635</v>
      </c>
      <c r="I51" s="265">
        <f t="shared" si="3"/>
        <v>31921.679745839185</v>
      </c>
      <c r="J51" s="263">
        <f t="shared" si="3"/>
        <v>26601.39978819932</v>
      </c>
      <c r="K51" s="267">
        <f t="shared" si="3"/>
        <v>15960.839872919592</v>
      </c>
      <c r="P51" s="285" t="s">
        <v>638</v>
      </c>
      <c r="Q51" s="284">
        <v>17.734266525466214</v>
      </c>
      <c r="R51" s="282" t="s">
        <v>639</v>
      </c>
    </row>
    <row r="52" spans="2:18" x14ac:dyDescent="0.25">
      <c r="D52" s="288"/>
      <c r="E52" s="256" t="s">
        <v>621</v>
      </c>
      <c r="F52" s="263">
        <f t="shared" si="3"/>
        <v>16847.553199192902</v>
      </c>
      <c r="G52" s="263">
        <f t="shared" si="3"/>
        <v>11083.916578416383</v>
      </c>
      <c r="H52" s="267">
        <f t="shared" si="3"/>
        <v>7980.4199364597962</v>
      </c>
      <c r="I52" s="263">
        <f t="shared" si="3"/>
        <v>25714.686461926012</v>
      </c>
      <c r="J52" s="263">
        <f t="shared" si="3"/>
        <v>19064.33651487618</v>
      </c>
      <c r="K52" s="267">
        <f t="shared" si="3"/>
        <v>9753.8465890064181</v>
      </c>
    </row>
    <row r="53" spans="2:18" x14ac:dyDescent="0.25">
      <c r="D53" t="s">
        <v>635</v>
      </c>
      <c r="E53" s="255" t="s">
        <v>619</v>
      </c>
      <c r="F53" s="278">
        <f t="shared" ref="F53:K54" si="4">F40/8760</f>
        <v>6.8493150684931505</v>
      </c>
      <c r="G53" s="278">
        <f t="shared" si="4"/>
        <v>10.273972602739725</v>
      </c>
      <c r="H53" s="279">
        <f t="shared" si="4"/>
        <v>11.415525114155251</v>
      </c>
      <c r="I53" s="280">
        <f t="shared" si="4"/>
        <v>3.4246575342465753</v>
      </c>
      <c r="J53" s="278">
        <f t="shared" si="4"/>
        <v>6.8493150684931505</v>
      </c>
      <c r="K53" s="279">
        <f t="shared" si="4"/>
        <v>11.415525114155251</v>
      </c>
    </row>
    <row r="54" spans="2:18" x14ac:dyDescent="0.25">
      <c r="E54" s="255" t="s">
        <v>620</v>
      </c>
      <c r="F54" s="278">
        <f t="shared" si="4"/>
        <v>10.273972602739725</v>
      </c>
      <c r="G54" s="278">
        <f t="shared" si="4"/>
        <v>11.415525114155251</v>
      </c>
      <c r="H54" s="279">
        <f t="shared" si="4"/>
        <v>17.123287671232877</v>
      </c>
      <c r="I54" s="280">
        <f t="shared" si="4"/>
        <v>10.273972602739725</v>
      </c>
      <c r="J54" s="278">
        <f t="shared" si="4"/>
        <v>10.273972602739725</v>
      </c>
      <c r="K54" s="279">
        <f t="shared" si="4"/>
        <v>17.123287671232877</v>
      </c>
    </row>
    <row r="55" spans="2:18" x14ac:dyDescent="0.25">
      <c r="D55" s="20"/>
      <c r="E55" s="256" t="s">
        <v>621</v>
      </c>
      <c r="F55" s="278">
        <f t="shared" ref="F55:K55" si="5">ROUNDDOWN(F42/8760,0)</f>
        <v>8</v>
      </c>
      <c r="G55" s="278">
        <f t="shared" si="5"/>
        <v>10</v>
      </c>
      <c r="H55" s="279">
        <f t="shared" si="5"/>
        <v>14</v>
      </c>
      <c r="I55" s="278">
        <f t="shared" si="5"/>
        <v>6</v>
      </c>
      <c r="J55" s="278">
        <f t="shared" si="5"/>
        <v>8</v>
      </c>
      <c r="K55" s="279">
        <f t="shared" si="5"/>
        <v>14</v>
      </c>
      <c r="P55" t="s">
        <v>636</v>
      </c>
    </row>
    <row r="56" spans="2:18" x14ac:dyDescent="0.25">
      <c r="B56" s="16"/>
    </row>
    <row r="57" spans="2:18" x14ac:dyDescent="0.25">
      <c r="M57" s="258"/>
    </row>
    <row r="59" spans="2:18" x14ac:dyDescent="0.25">
      <c r="D59" s="260" t="s">
        <v>33</v>
      </c>
    </row>
    <row r="60" spans="2:18" x14ac:dyDescent="0.25">
      <c r="D60" s="259" t="s">
        <v>18</v>
      </c>
      <c r="E60" s="259" t="s">
        <v>625</v>
      </c>
      <c r="F60" s="259">
        <v>2020</v>
      </c>
      <c r="G60" s="259">
        <v>2030</v>
      </c>
      <c r="H60" s="259">
        <v>2050</v>
      </c>
    </row>
    <row r="61" spans="2:18" x14ac:dyDescent="0.25">
      <c r="D61" t="str">
        <f>Definitions!B8</f>
        <v>UELEA1HGN</v>
      </c>
      <c r="E61" t="s">
        <v>23</v>
      </c>
      <c r="F61" s="266">
        <f>F52</f>
        <v>16847.553199192902</v>
      </c>
      <c r="G61" s="266">
        <f>G52</f>
        <v>11083.916578416383</v>
      </c>
      <c r="H61" s="266">
        <f>H52</f>
        <v>7980.4199364597962</v>
      </c>
      <c r="J61" s="258"/>
      <c r="P61" t="s">
        <v>637</v>
      </c>
    </row>
    <row r="62" spans="2:18" x14ac:dyDescent="0.25">
      <c r="D62" t="str">
        <f>D61</f>
        <v>UELEA1HGN</v>
      </c>
      <c r="E62" t="s">
        <v>43</v>
      </c>
      <c r="F62" s="266">
        <f>F61*5%</f>
        <v>842.37765995964514</v>
      </c>
      <c r="G62" s="266">
        <f t="shared" ref="G62:H62" si="6">G61*5%</f>
        <v>554.19582892081917</v>
      </c>
      <c r="H62" s="266">
        <f t="shared" si="6"/>
        <v>399.02099682298984</v>
      </c>
      <c r="P62" t="s">
        <v>626</v>
      </c>
    </row>
    <row r="63" spans="2:18" x14ac:dyDescent="0.25">
      <c r="D63" s="20" t="str">
        <f>D62</f>
        <v>UELEA1HGN</v>
      </c>
      <c r="E63" s="20" t="s">
        <v>26</v>
      </c>
      <c r="F63" s="263">
        <f>F55</f>
        <v>8</v>
      </c>
      <c r="G63" s="263">
        <f>G55</f>
        <v>10</v>
      </c>
      <c r="H63" s="263">
        <f>H55</f>
        <v>14</v>
      </c>
    </row>
    <row r="64" spans="2:18" x14ac:dyDescent="0.25">
      <c r="D64" t="str">
        <f>Definitions!B9</f>
        <v>UELEP1HGN</v>
      </c>
      <c r="E64" t="s">
        <v>23</v>
      </c>
      <c r="F64" s="266">
        <f>I52</f>
        <v>25714.686461926012</v>
      </c>
      <c r="G64" s="266">
        <f t="shared" ref="G64:H64" si="7">J52</f>
        <v>19064.33651487618</v>
      </c>
      <c r="H64" s="266">
        <f t="shared" si="7"/>
        <v>9753.8465890064181</v>
      </c>
    </row>
    <row r="65" spans="2:16" x14ac:dyDescent="0.25">
      <c r="D65" t="str">
        <f>D64</f>
        <v>UELEP1HGN</v>
      </c>
      <c r="E65" t="s">
        <v>43</v>
      </c>
      <c r="F65" s="266">
        <f>F64*5%</f>
        <v>1285.7343230963006</v>
      </c>
      <c r="G65" s="266">
        <f t="shared" ref="G65:H65" si="8">G64*5%</f>
        <v>953.21682574380907</v>
      </c>
      <c r="H65" s="266">
        <f t="shared" si="8"/>
        <v>487.69232945032093</v>
      </c>
    </row>
    <row r="66" spans="2:16" x14ac:dyDescent="0.25">
      <c r="D66" t="str">
        <f>D65</f>
        <v>UELEP1HGN</v>
      </c>
      <c r="E66" t="s">
        <v>26</v>
      </c>
      <c r="F66" s="266">
        <f>I55</f>
        <v>6</v>
      </c>
      <c r="G66" s="266">
        <f t="shared" ref="G66:H66" si="9">J55</f>
        <v>8</v>
      </c>
      <c r="H66" s="266">
        <f t="shared" si="9"/>
        <v>14</v>
      </c>
    </row>
    <row r="69" spans="2:16" x14ac:dyDescent="0.25">
      <c r="B69" s="16" t="s">
        <v>630</v>
      </c>
      <c r="D69" s="16"/>
    </row>
    <row r="71" spans="2:16" x14ac:dyDescent="0.25">
      <c r="D71" s="260" t="s">
        <v>33</v>
      </c>
    </row>
    <row r="72" spans="2:16" x14ac:dyDescent="0.25">
      <c r="D72" s="261" t="s">
        <v>18</v>
      </c>
      <c r="E72" s="261" t="s">
        <v>30</v>
      </c>
      <c r="F72" s="261" t="s">
        <v>29</v>
      </c>
      <c r="G72" s="261" t="s">
        <v>113</v>
      </c>
      <c r="H72" s="261" t="s">
        <v>631</v>
      </c>
      <c r="I72" s="261" t="s">
        <v>632</v>
      </c>
      <c r="J72" s="261" t="s">
        <v>633</v>
      </c>
    </row>
    <row r="73" spans="2:16" x14ac:dyDescent="0.25">
      <c r="D73" s="257" t="str">
        <f>D61</f>
        <v>UELEA1HGN</v>
      </c>
      <c r="E73" s="179" t="s">
        <v>109</v>
      </c>
      <c r="F73" s="179" t="s">
        <v>108</v>
      </c>
      <c r="G73" s="26">
        <v>31.536000000000001</v>
      </c>
      <c r="H73" s="26">
        <f>1/F36</f>
        <v>1.5037593984962405</v>
      </c>
      <c r="I73" s="26">
        <f>1/G36</f>
        <v>1.4705882352941178</v>
      </c>
      <c r="J73" s="26">
        <f>1/H36</f>
        <v>1.3333333333333333</v>
      </c>
      <c r="P73" t="s">
        <v>634</v>
      </c>
    </row>
    <row r="74" spans="2:16" x14ac:dyDescent="0.25">
      <c r="D74" t="str">
        <f>D64</f>
        <v>UELEP1HGN</v>
      </c>
      <c r="E74" t="str">
        <f>E73</f>
        <v>UPSELC</v>
      </c>
      <c r="F74" t="str">
        <f>F73</f>
        <v>HGN</v>
      </c>
      <c r="G74" s="26">
        <v>31.536000000000001</v>
      </c>
      <c r="H74" s="26">
        <f>1/I36</f>
        <v>1.7241379310344827</v>
      </c>
      <c r="I74" s="26">
        <f t="shared" ref="I74:J74" si="10">1/J36</f>
        <v>1.5267175572519083</v>
      </c>
      <c r="J74" s="26">
        <f t="shared" si="10"/>
        <v>1.4184397163120566</v>
      </c>
    </row>
    <row r="79" spans="2:16" x14ac:dyDescent="0.25">
      <c r="B79" s="16" t="s">
        <v>640</v>
      </c>
    </row>
    <row r="81" spans="4:16" x14ac:dyDescent="0.25">
      <c r="D81" s="260" t="s">
        <v>33</v>
      </c>
    </row>
    <row r="82" spans="4:16" x14ac:dyDescent="0.25">
      <c r="D82" s="259" t="s">
        <v>18</v>
      </c>
      <c r="E82" s="259" t="s">
        <v>625</v>
      </c>
      <c r="F82" s="259">
        <v>2020</v>
      </c>
    </row>
    <row r="83" spans="4:16" x14ac:dyDescent="0.25">
      <c r="D83" t="str">
        <f>D73</f>
        <v>UELEA1HGN</v>
      </c>
      <c r="E83" t="s">
        <v>641</v>
      </c>
      <c r="F83">
        <v>0.9</v>
      </c>
      <c r="P83" t="s">
        <v>642</v>
      </c>
    </row>
    <row r="84" spans="4:16" x14ac:dyDescent="0.25">
      <c r="D84" t="str">
        <f>D74</f>
        <v>UELEP1HGN</v>
      </c>
      <c r="E84" t="s">
        <v>641</v>
      </c>
      <c r="F84">
        <v>0.9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A4DD5-9B0A-4A87-80B7-05E3634855DA}">
  <sheetPr>
    <tabColor theme="7"/>
  </sheetPr>
  <dimension ref="A1:AI149"/>
  <sheetViews>
    <sheetView zoomScaleNormal="100" workbookViewId="0">
      <selection activeCell="Q73" sqref="Q73"/>
    </sheetView>
  </sheetViews>
  <sheetFormatPr defaultColWidth="18.28515625" defaultRowHeight="15" x14ac:dyDescent="0.25"/>
  <cols>
    <col min="1" max="1" width="25.28515625" customWidth="1"/>
    <col min="2" max="5" width="18.28515625" customWidth="1"/>
    <col min="6" max="6" width="23.28515625" customWidth="1"/>
    <col min="7" max="7" width="50.7109375" customWidth="1"/>
    <col min="8" max="8" width="3.5703125" style="31" customWidth="1"/>
    <col min="9" max="9" width="26" customWidth="1"/>
    <col min="18" max="18" width="11.7109375" customWidth="1"/>
    <col min="23" max="23" width="3.7109375" style="30" customWidth="1"/>
    <col min="24" max="24" width="24.7109375" bestFit="1" customWidth="1"/>
    <col min="25" max="25" width="8.7109375" customWidth="1"/>
  </cols>
  <sheetData>
    <row r="1" spans="1:28" ht="18.75" x14ac:dyDescent="0.3">
      <c r="A1" s="56" t="s">
        <v>360</v>
      </c>
      <c r="B1" s="56"/>
      <c r="C1" s="56"/>
      <c r="D1" s="56"/>
      <c r="E1" s="56"/>
      <c r="F1" s="56"/>
      <c r="G1" s="19"/>
      <c r="I1" s="56" t="s">
        <v>359</v>
      </c>
      <c r="J1" s="56"/>
      <c r="K1" s="56"/>
      <c r="L1" s="56"/>
      <c r="M1" s="56"/>
      <c r="N1" s="56"/>
      <c r="O1" s="19"/>
      <c r="P1" s="19"/>
      <c r="Q1" s="19"/>
      <c r="X1" s="120" t="s">
        <v>358</v>
      </c>
      <c r="Y1" s="19"/>
      <c r="Z1" s="19"/>
      <c r="AA1" s="19"/>
      <c r="AB1" s="19"/>
    </row>
    <row r="2" spans="1:28" x14ac:dyDescent="0.25">
      <c r="I2" s="127" t="s">
        <v>357</v>
      </c>
      <c r="M2" s="24" t="s">
        <v>356</v>
      </c>
    </row>
    <row r="3" spans="1:28" x14ac:dyDescent="0.25">
      <c r="A3" s="24" t="s">
        <v>341</v>
      </c>
      <c r="I3" s="17" t="s">
        <v>355</v>
      </c>
      <c r="J3" s="17"/>
      <c r="K3" s="17"/>
      <c r="L3" s="17"/>
      <c r="M3" s="17"/>
      <c r="N3" s="17"/>
      <c r="O3" s="17"/>
      <c r="P3" s="17"/>
      <c r="Q3" s="17"/>
      <c r="X3" s="102" t="s">
        <v>103</v>
      </c>
    </row>
    <row r="4" spans="1:28" x14ac:dyDescent="0.25">
      <c r="A4" s="24" t="str">
        <f>I1</f>
        <v>UK SHEC PROJECT MARKAL MODEL HYDROGEN SUPPLY TECHNOLOGY TABLES</v>
      </c>
      <c r="I4" s="17" t="s">
        <v>354</v>
      </c>
      <c r="J4" s="17"/>
      <c r="K4" s="17"/>
      <c r="L4" s="17"/>
      <c r="M4" s="17"/>
      <c r="N4" s="17"/>
      <c r="O4" s="17"/>
      <c r="P4" s="17"/>
      <c r="Q4" s="17"/>
      <c r="X4" s="65" t="s">
        <v>353</v>
      </c>
      <c r="Y4" s="63">
        <v>4.1239999999999997</v>
      </c>
      <c r="Z4" s="65" t="s">
        <v>352</v>
      </c>
    </row>
    <row r="5" spans="1:28" x14ac:dyDescent="0.25">
      <c r="A5" s="24" t="str">
        <f>A17</f>
        <v>Steam Methane Reforming (SMR)</v>
      </c>
      <c r="I5" s="17" t="s">
        <v>351</v>
      </c>
      <c r="J5" s="17"/>
      <c r="K5" s="17"/>
      <c r="L5" s="17"/>
      <c r="M5" s="17"/>
      <c r="N5" s="17"/>
      <c r="O5" s="17"/>
      <c r="P5" s="17"/>
      <c r="Q5" s="17"/>
      <c r="X5" s="65" t="s">
        <v>350</v>
      </c>
      <c r="Y5" s="63">
        <v>2.016</v>
      </c>
      <c r="Z5" s="65" t="s">
        <v>349</v>
      </c>
    </row>
    <row r="6" spans="1:28" x14ac:dyDescent="0.25">
      <c r="A6" s="24" t="str">
        <f>A70</f>
        <v>Water Electrolysis</v>
      </c>
      <c r="I6" s="126" t="s">
        <v>348</v>
      </c>
      <c r="J6" s="125" t="s">
        <v>219</v>
      </c>
      <c r="K6" s="125" t="s">
        <v>347</v>
      </c>
      <c r="L6" s="310" t="s">
        <v>346</v>
      </c>
      <c r="M6" s="311"/>
      <c r="N6" s="312"/>
      <c r="O6" s="310" t="s">
        <v>285</v>
      </c>
      <c r="P6" s="311"/>
      <c r="Q6" s="312"/>
      <c r="X6" s="65" t="s">
        <v>345</v>
      </c>
      <c r="Y6" s="63">
        <v>-252.8</v>
      </c>
      <c r="Z6" s="65" t="s">
        <v>344</v>
      </c>
    </row>
    <row r="7" spans="1:28" ht="30" x14ac:dyDescent="0.25">
      <c r="I7" s="317"/>
      <c r="J7" s="317"/>
      <c r="K7" s="317"/>
      <c r="L7" s="124">
        <v>2000</v>
      </c>
      <c r="M7" s="124">
        <v>2025</v>
      </c>
      <c r="N7" s="124">
        <v>2050</v>
      </c>
      <c r="O7" s="124">
        <v>2000</v>
      </c>
      <c r="P7" s="124">
        <v>2025</v>
      </c>
      <c r="Q7" s="124">
        <v>2050</v>
      </c>
      <c r="X7" s="123" t="s">
        <v>343</v>
      </c>
      <c r="Y7" s="122">
        <f>101.3/(Y4*(20+273.15))</f>
        <v>8.3791678502000005E-2</v>
      </c>
      <c r="Z7" s="65" t="s">
        <v>342</v>
      </c>
    </row>
    <row r="8" spans="1:28" ht="18.75" x14ac:dyDescent="0.3">
      <c r="A8" s="56" t="s">
        <v>341</v>
      </c>
      <c r="B8" s="19"/>
      <c r="C8" s="19"/>
      <c r="D8" s="19"/>
      <c r="E8" s="19"/>
      <c r="F8" s="19"/>
      <c r="G8" s="19"/>
      <c r="I8" s="119" t="s">
        <v>340</v>
      </c>
      <c r="J8" s="119" t="s">
        <v>135</v>
      </c>
      <c r="K8" s="118">
        <v>2000</v>
      </c>
      <c r="L8" s="117">
        <v>18</v>
      </c>
      <c r="M8" s="117">
        <v>16</v>
      </c>
      <c r="N8" s="117">
        <v>14</v>
      </c>
      <c r="O8" s="116" t="s">
        <v>327</v>
      </c>
      <c r="P8" s="116" t="s">
        <v>327</v>
      </c>
      <c r="Q8" s="116" t="s">
        <v>327</v>
      </c>
      <c r="X8" s="65" t="s">
        <v>339</v>
      </c>
      <c r="Y8" s="63">
        <v>70.8</v>
      </c>
      <c r="Z8" s="65" t="s">
        <v>338</v>
      </c>
    </row>
    <row r="9" spans="1:28" ht="44.25" customHeight="1" x14ac:dyDescent="0.25">
      <c r="A9" s="296" t="s">
        <v>337</v>
      </c>
      <c r="B9" s="296"/>
      <c r="C9" s="296"/>
      <c r="D9" s="296"/>
      <c r="E9" s="296"/>
      <c r="F9" s="296"/>
      <c r="G9" s="296"/>
      <c r="I9" s="121" t="s">
        <v>210</v>
      </c>
      <c r="J9" s="119" t="s">
        <v>135</v>
      </c>
      <c r="K9" s="118">
        <v>2020</v>
      </c>
      <c r="L9" s="116" t="s">
        <v>336</v>
      </c>
      <c r="M9" s="116" t="s">
        <v>336</v>
      </c>
      <c r="N9" s="116" t="s">
        <v>336</v>
      </c>
      <c r="O9" s="116" t="s">
        <v>335</v>
      </c>
      <c r="P9" s="116" t="s">
        <v>335</v>
      </c>
      <c r="Q9" s="116" t="s">
        <v>335</v>
      </c>
      <c r="X9" s="65" t="s">
        <v>334</v>
      </c>
      <c r="Y9" s="63">
        <v>142</v>
      </c>
      <c r="Z9" s="65" t="s">
        <v>95</v>
      </c>
    </row>
    <row r="10" spans="1:28" x14ac:dyDescent="0.25">
      <c r="I10" s="119" t="s">
        <v>328</v>
      </c>
      <c r="J10" s="119" t="s">
        <v>135</v>
      </c>
      <c r="K10" s="118">
        <v>2000</v>
      </c>
      <c r="L10" s="117">
        <v>5</v>
      </c>
      <c r="M10" s="117">
        <v>4</v>
      </c>
      <c r="N10" s="117">
        <v>3</v>
      </c>
      <c r="O10" s="116" t="s">
        <v>326</v>
      </c>
      <c r="P10" s="116" t="s">
        <v>305</v>
      </c>
      <c r="Q10" s="116" t="s">
        <v>305</v>
      </c>
      <c r="X10" s="65" t="s">
        <v>333</v>
      </c>
      <c r="Y10" s="63">
        <v>120</v>
      </c>
      <c r="Z10" s="65" t="s">
        <v>95</v>
      </c>
    </row>
    <row r="11" spans="1:28" x14ac:dyDescent="0.25">
      <c r="A11" t="s">
        <v>332</v>
      </c>
      <c r="I11" s="119" t="s">
        <v>328</v>
      </c>
      <c r="J11" s="119" t="s">
        <v>137</v>
      </c>
      <c r="K11" s="118">
        <v>2000</v>
      </c>
      <c r="L11" s="117">
        <v>12</v>
      </c>
      <c r="M11" s="117">
        <v>10</v>
      </c>
      <c r="N11" s="117">
        <v>8</v>
      </c>
      <c r="O11" s="116" t="s">
        <v>306</v>
      </c>
      <c r="P11" s="116" t="s">
        <v>326</v>
      </c>
      <c r="Q11" s="116" t="s">
        <v>326</v>
      </c>
      <c r="X11" s="65" t="s">
        <v>331</v>
      </c>
      <c r="Y11" s="63" t="s">
        <v>330</v>
      </c>
      <c r="Z11" s="65"/>
    </row>
    <row r="12" spans="1:28" x14ac:dyDescent="0.25">
      <c r="A12" t="s">
        <v>329</v>
      </c>
      <c r="I12" s="119" t="s">
        <v>328</v>
      </c>
      <c r="J12" s="119" t="s">
        <v>133</v>
      </c>
      <c r="K12" s="118">
        <v>2020</v>
      </c>
      <c r="L12" s="117">
        <v>45</v>
      </c>
      <c r="M12" s="117">
        <v>10</v>
      </c>
      <c r="N12" s="117">
        <v>8</v>
      </c>
      <c r="O12" s="116" t="s">
        <v>327</v>
      </c>
      <c r="P12" s="116" t="s">
        <v>326</v>
      </c>
      <c r="Q12" s="116" t="s">
        <v>326</v>
      </c>
    </row>
    <row r="13" spans="1:28" ht="18.75" x14ac:dyDescent="0.3">
      <c r="A13" t="s">
        <v>325</v>
      </c>
      <c r="I13" s="119" t="s">
        <v>320</v>
      </c>
      <c r="J13" s="119" t="s">
        <v>135</v>
      </c>
      <c r="K13" s="118">
        <v>2020</v>
      </c>
      <c r="L13" s="117">
        <v>15</v>
      </c>
      <c r="M13" s="117">
        <v>15</v>
      </c>
      <c r="N13" s="117">
        <v>15</v>
      </c>
      <c r="O13" s="116" t="s">
        <v>314</v>
      </c>
      <c r="P13" s="116" t="s">
        <v>314</v>
      </c>
      <c r="Q13" s="116" t="s">
        <v>314</v>
      </c>
      <c r="X13" s="120" t="s">
        <v>324</v>
      </c>
      <c r="Y13" s="19"/>
      <c r="Z13" s="19"/>
      <c r="AA13" s="19"/>
    </row>
    <row r="14" spans="1:28" x14ac:dyDescent="0.25">
      <c r="I14" s="119" t="s">
        <v>320</v>
      </c>
      <c r="J14" s="119" t="s">
        <v>137</v>
      </c>
      <c r="K14" s="118">
        <v>2020</v>
      </c>
      <c r="L14" s="117">
        <v>30</v>
      </c>
      <c r="M14" s="117">
        <v>20</v>
      </c>
      <c r="N14" s="117">
        <v>20</v>
      </c>
      <c r="O14" s="116" t="s">
        <v>314</v>
      </c>
      <c r="P14" s="116" t="s">
        <v>314</v>
      </c>
      <c r="Q14" s="116" t="s">
        <v>314</v>
      </c>
      <c r="X14" t="s">
        <v>323</v>
      </c>
      <c r="Y14">
        <v>1.0079400000000001</v>
      </c>
      <c r="Z14" s="24" t="s">
        <v>322</v>
      </c>
    </row>
    <row r="15" spans="1:28" x14ac:dyDescent="0.25">
      <c r="A15" s="72" t="s">
        <v>321</v>
      </c>
      <c r="I15" s="119" t="s">
        <v>320</v>
      </c>
      <c r="J15" s="119" t="s">
        <v>133</v>
      </c>
      <c r="K15" s="118">
        <v>2020</v>
      </c>
      <c r="L15" s="117">
        <v>45</v>
      </c>
      <c r="M15" s="117">
        <v>25</v>
      </c>
      <c r="N15" s="117">
        <v>25</v>
      </c>
      <c r="O15" s="116" t="s">
        <v>314</v>
      </c>
      <c r="P15" s="116" t="s">
        <v>314</v>
      </c>
      <c r="Q15" s="116" t="s">
        <v>314</v>
      </c>
      <c r="X15" t="s">
        <v>319</v>
      </c>
      <c r="Y15">
        <v>15.9994</v>
      </c>
      <c r="Z15" s="24" t="s">
        <v>318</v>
      </c>
    </row>
    <row r="16" spans="1:28" x14ac:dyDescent="0.25">
      <c r="I16" s="119" t="s">
        <v>317</v>
      </c>
      <c r="J16" s="119" t="s">
        <v>137</v>
      </c>
      <c r="K16" s="118">
        <v>2020</v>
      </c>
      <c r="L16" s="117">
        <v>30</v>
      </c>
      <c r="M16" s="117">
        <v>20</v>
      </c>
      <c r="N16" s="117">
        <v>20</v>
      </c>
      <c r="O16" s="116" t="s">
        <v>314</v>
      </c>
      <c r="P16" s="116" t="s">
        <v>314</v>
      </c>
      <c r="Q16" s="116" t="s">
        <v>314</v>
      </c>
    </row>
    <row r="17" spans="1:35" ht="18.75" x14ac:dyDescent="0.3">
      <c r="A17" s="56" t="s">
        <v>316</v>
      </c>
      <c r="B17" s="19"/>
      <c r="C17" s="19"/>
      <c r="D17" s="19"/>
      <c r="E17" s="19"/>
      <c r="F17" s="19"/>
      <c r="G17" s="19"/>
      <c r="I17" s="119" t="s">
        <v>315</v>
      </c>
      <c r="J17" s="119" t="s">
        <v>137</v>
      </c>
      <c r="K17" s="118">
        <v>2020</v>
      </c>
      <c r="L17" s="117">
        <v>30</v>
      </c>
      <c r="M17" s="117">
        <v>20</v>
      </c>
      <c r="N17" s="117">
        <v>20</v>
      </c>
      <c r="O17" s="116" t="s">
        <v>314</v>
      </c>
      <c r="P17" s="116" t="s">
        <v>314</v>
      </c>
      <c r="Q17" s="116" t="s">
        <v>314</v>
      </c>
      <c r="X17" t="s">
        <v>313</v>
      </c>
      <c r="Y17">
        <f>(Y14*2+Y15)/(2*Y14)</f>
        <v>8.9366827390519283</v>
      </c>
      <c r="Z17" t="s">
        <v>312</v>
      </c>
    </row>
    <row r="18" spans="1:35" x14ac:dyDescent="0.25">
      <c r="I18" s="119" t="s">
        <v>311</v>
      </c>
      <c r="J18" s="119" t="s">
        <v>135</v>
      </c>
      <c r="K18" s="118">
        <v>2030</v>
      </c>
      <c r="L18" s="116"/>
      <c r="M18" s="117">
        <v>40</v>
      </c>
      <c r="N18" s="117">
        <v>40</v>
      </c>
      <c r="O18" s="116"/>
      <c r="P18" s="116" t="s">
        <v>306</v>
      </c>
      <c r="Q18" s="116" t="s">
        <v>306</v>
      </c>
      <c r="Y18">
        <f>Y17/Y9</f>
        <v>6.2934385486281191E-2</v>
      </c>
      <c r="Z18" t="s">
        <v>310</v>
      </c>
    </row>
    <row r="19" spans="1:35" x14ac:dyDescent="0.25">
      <c r="A19" s="67" t="s">
        <v>198</v>
      </c>
      <c r="B19" s="67" t="s">
        <v>209</v>
      </c>
      <c r="I19" s="119" t="s">
        <v>307</v>
      </c>
      <c r="J19" s="119" t="s">
        <v>137</v>
      </c>
      <c r="K19" s="118">
        <v>2000</v>
      </c>
      <c r="L19" s="117">
        <v>18</v>
      </c>
      <c r="M19" s="117">
        <v>10</v>
      </c>
      <c r="N19" s="117">
        <v>10</v>
      </c>
      <c r="O19" s="116" t="s">
        <v>306</v>
      </c>
      <c r="P19" s="116" t="s">
        <v>305</v>
      </c>
      <c r="Q19" s="116" t="s">
        <v>304</v>
      </c>
      <c r="Y19">
        <f>Y17/Y10</f>
        <v>7.4472356158766073E-2</v>
      </c>
      <c r="Z19" t="s">
        <v>309</v>
      </c>
    </row>
    <row r="20" spans="1:35" x14ac:dyDescent="0.25">
      <c r="A20" t="s">
        <v>308</v>
      </c>
      <c r="I20" s="119" t="s">
        <v>307</v>
      </c>
      <c r="J20" s="119" t="s">
        <v>133</v>
      </c>
      <c r="K20" s="118">
        <v>2000</v>
      </c>
      <c r="L20" s="117">
        <v>65</v>
      </c>
      <c r="M20" s="117">
        <v>16</v>
      </c>
      <c r="N20" s="117">
        <v>10</v>
      </c>
      <c r="O20" s="116" t="s">
        <v>306</v>
      </c>
      <c r="P20" s="116" t="s">
        <v>305</v>
      </c>
      <c r="Q20" s="116" t="s">
        <v>304</v>
      </c>
    </row>
    <row r="21" spans="1:35" x14ac:dyDescent="0.25">
      <c r="A21" t="s">
        <v>303</v>
      </c>
      <c r="Y21">
        <f>4*Y14+2*Y15</f>
        <v>36.030560000000001</v>
      </c>
      <c r="Z21">
        <f>4*Y14</f>
        <v>4.0317600000000002</v>
      </c>
      <c r="AA21" t="s">
        <v>104</v>
      </c>
    </row>
    <row r="22" spans="1:35" x14ac:dyDescent="0.25">
      <c r="A22" t="s">
        <v>302</v>
      </c>
      <c r="I22" s="115" t="s">
        <v>301</v>
      </c>
      <c r="J22" s="17"/>
      <c r="K22" s="17"/>
      <c r="L22" s="17"/>
      <c r="M22" s="17"/>
      <c r="N22" s="17"/>
      <c r="O22" s="17"/>
      <c r="P22" s="17"/>
      <c r="Q22" s="17"/>
      <c r="Z22">
        <f>2*Y15</f>
        <v>31.998799999999999</v>
      </c>
      <c r="AA22" t="s">
        <v>300</v>
      </c>
    </row>
    <row r="23" spans="1:35" x14ac:dyDescent="0.25">
      <c r="A23" t="s">
        <v>299</v>
      </c>
      <c r="I23" s="17" t="s">
        <v>298</v>
      </c>
      <c r="J23" s="17"/>
      <c r="K23" s="17"/>
      <c r="L23" s="17"/>
      <c r="M23" s="17"/>
      <c r="N23" s="17"/>
      <c r="O23" s="114"/>
      <c r="P23" s="17"/>
      <c r="Q23" s="17"/>
      <c r="X23" t="s">
        <v>297</v>
      </c>
      <c r="Y23">
        <f>Y21/Z22</f>
        <v>1.1259972248959336</v>
      </c>
      <c r="Z23" t="s">
        <v>296</v>
      </c>
    </row>
    <row r="24" spans="1:35" x14ac:dyDescent="0.25">
      <c r="A24" t="s">
        <v>295</v>
      </c>
      <c r="I24" s="113" t="s">
        <v>294</v>
      </c>
      <c r="J24" s="17"/>
      <c r="K24" s="17"/>
      <c r="L24" s="17"/>
      <c r="M24" s="17"/>
      <c r="N24" s="17"/>
      <c r="O24" s="17"/>
      <c r="P24" s="17"/>
      <c r="Q24" s="17"/>
      <c r="Y24">
        <f>Y17/Y23</f>
        <v>7.9366827390519283</v>
      </c>
      <c r="Z24" t="s">
        <v>293</v>
      </c>
    </row>
    <row r="25" spans="1:35" x14ac:dyDescent="0.25">
      <c r="A25" t="s">
        <v>292</v>
      </c>
      <c r="I25" s="17" t="str">
        <f>I30&amp;J30</f>
        <v>SMRLarge</v>
      </c>
      <c r="J25" s="17"/>
      <c r="K25" s="112" t="s">
        <v>291</v>
      </c>
      <c r="L25" s="111">
        <f>L30*1.27</f>
        <v>11.43</v>
      </c>
      <c r="M25" s="111">
        <f>M30*1.27</f>
        <v>8.89</v>
      </c>
      <c r="N25" s="111">
        <f>N30*1.27</f>
        <v>6.35</v>
      </c>
      <c r="O25" s="17"/>
      <c r="P25" s="17"/>
      <c r="Q25" s="17"/>
    </row>
    <row r="26" spans="1:35" x14ac:dyDescent="0.25">
      <c r="A26" t="s">
        <v>290</v>
      </c>
      <c r="I26" s="110" t="s">
        <v>289</v>
      </c>
      <c r="J26" s="71" t="s">
        <v>288</v>
      </c>
      <c r="K26" s="71" t="s">
        <v>287</v>
      </c>
      <c r="L26" s="297" t="s">
        <v>286</v>
      </c>
      <c r="M26" s="297"/>
      <c r="N26" s="297"/>
      <c r="O26" s="297" t="s">
        <v>285</v>
      </c>
      <c r="P26" s="297"/>
      <c r="Q26" s="297"/>
      <c r="R26" s="297" t="s">
        <v>284</v>
      </c>
      <c r="S26" s="297"/>
      <c r="T26" s="297"/>
      <c r="U26" s="300" t="s">
        <v>215</v>
      </c>
      <c r="V26" s="300"/>
    </row>
    <row r="27" spans="1:35" x14ac:dyDescent="0.25">
      <c r="F27" t="s">
        <v>283</v>
      </c>
      <c r="I27" s="306"/>
      <c r="J27" s="306"/>
      <c r="K27" s="306"/>
      <c r="L27" s="109">
        <v>2000</v>
      </c>
      <c r="M27" s="109">
        <v>2025</v>
      </c>
      <c r="N27" s="109">
        <v>2050</v>
      </c>
      <c r="O27" s="70">
        <v>2000</v>
      </c>
      <c r="P27" s="70">
        <v>2025</v>
      </c>
      <c r="Q27" s="70">
        <v>2050</v>
      </c>
      <c r="R27" s="109">
        <v>2000</v>
      </c>
      <c r="S27" s="109">
        <v>2025</v>
      </c>
      <c r="T27" s="109">
        <v>2050</v>
      </c>
      <c r="U27" s="66" t="s">
        <v>214</v>
      </c>
      <c r="V27" s="66" t="s">
        <v>213</v>
      </c>
    </row>
    <row r="28" spans="1:35" x14ac:dyDescent="0.25">
      <c r="A28" t="s">
        <v>282</v>
      </c>
      <c r="I28" s="62" t="s">
        <v>212</v>
      </c>
      <c r="J28" s="62" t="s">
        <v>192</v>
      </c>
      <c r="K28" s="94">
        <v>2000</v>
      </c>
      <c r="L28" s="93">
        <v>31</v>
      </c>
      <c r="M28" s="93">
        <v>27</v>
      </c>
      <c r="N28" s="93">
        <v>24</v>
      </c>
      <c r="O28" s="61" t="s">
        <v>278</v>
      </c>
      <c r="P28" s="61" t="s">
        <v>278</v>
      </c>
      <c r="Q28" s="61" t="s">
        <v>278</v>
      </c>
      <c r="R28" s="93">
        <f>L28*$R$47*Deflator!$F$33</f>
        <v>443.23799999999994</v>
      </c>
      <c r="S28" s="93">
        <f>M28*$R$47*Deflator!$F$33</f>
        <v>386.04599999999994</v>
      </c>
      <c r="T28" s="93">
        <f>N28*$R$47*Deflator!$F$33</f>
        <v>343.15199999999993</v>
      </c>
      <c r="U28" s="58">
        <f t="shared" ref="U28:U37" si="0">(R28/S28)^(1/25)-1</f>
        <v>5.541310115432907E-3</v>
      </c>
      <c r="V28" s="58">
        <f t="shared" ref="V28:V37" si="1">(S28/T28)^(1/25)-1</f>
        <v>4.7224371507739171E-3</v>
      </c>
    </row>
    <row r="29" spans="1:35" ht="25.5" x14ac:dyDescent="0.25">
      <c r="I29" s="69" t="s">
        <v>210</v>
      </c>
      <c r="J29" s="62" t="s">
        <v>192</v>
      </c>
      <c r="K29" s="94">
        <v>2020</v>
      </c>
      <c r="L29" s="108">
        <v>217</v>
      </c>
      <c r="M29" s="108">
        <v>217</v>
      </c>
      <c r="N29" s="108">
        <v>217</v>
      </c>
      <c r="O29" s="61" t="s">
        <v>281</v>
      </c>
      <c r="P29" s="61" t="s">
        <v>281</v>
      </c>
      <c r="Q29" s="61" t="s">
        <v>281</v>
      </c>
      <c r="R29" s="93">
        <f>L29*$R$47*Deflator!$F$33</f>
        <v>3102.6659999999997</v>
      </c>
      <c r="S29" s="107">
        <f>M29*$R$47*Deflator!$F$33</f>
        <v>3102.6659999999997</v>
      </c>
      <c r="T29" s="107">
        <f>N29*$R$47*Deflator!$F$33</f>
        <v>3102.6659999999997</v>
      </c>
      <c r="U29" s="58">
        <f t="shared" si="0"/>
        <v>0</v>
      </c>
      <c r="V29" s="58">
        <f t="shared" si="1"/>
        <v>0</v>
      </c>
      <c r="AD29" t="s">
        <v>280</v>
      </c>
      <c r="AG29">
        <v>2020</v>
      </c>
      <c r="AH29">
        <v>2030</v>
      </c>
      <c r="AI29">
        <v>2035</v>
      </c>
    </row>
    <row r="30" spans="1:35" x14ac:dyDescent="0.25">
      <c r="I30" s="62" t="s">
        <v>208</v>
      </c>
      <c r="J30" s="62" t="s">
        <v>192</v>
      </c>
      <c r="K30" s="94">
        <v>2000</v>
      </c>
      <c r="L30" s="106">
        <v>9</v>
      </c>
      <c r="M30" s="106">
        <v>7</v>
      </c>
      <c r="N30" s="106">
        <v>5</v>
      </c>
      <c r="O30" s="61" t="s">
        <v>277</v>
      </c>
      <c r="P30" s="61" t="s">
        <v>257</v>
      </c>
      <c r="Q30" s="61" t="s">
        <v>257</v>
      </c>
      <c r="R30" s="93">
        <f>L30*$R$47*Deflator!$F$33</f>
        <v>128.68199999999999</v>
      </c>
      <c r="S30" s="93">
        <f>M30*$R$47*Deflator!$F$33</f>
        <v>100.086</v>
      </c>
      <c r="T30" s="93">
        <f>N30*$R$47*Deflator!$F$33</f>
        <v>71.489999999999995</v>
      </c>
      <c r="U30" s="58">
        <f t="shared" si="0"/>
        <v>1.010327402045097E-2</v>
      </c>
      <c r="V30" s="58">
        <f t="shared" si="1"/>
        <v>1.354986801622915E-2</v>
      </c>
      <c r="AD30" t="s">
        <v>212</v>
      </c>
      <c r="AE30" t="s">
        <v>275</v>
      </c>
      <c r="AF30" t="s">
        <v>279</v>
      </c>
      <c r="AG30">
        <v>2670</v>
      </c>
      <c r="AH30">
        <f>AG30</f>
        <v>2670</v>
      </c>
      <c r="AI30">
        <f>AH30</f>
        <v>2670</v>
      </c>
    </row>
    <row r="31" spans="1:35" x14ac:dyDescent="0.25">
      <c r="A31" s="66" t="s">
        <v>172</v>
      </c>
      <c r="B31" s="66" t="s">
        <v>200</v>
      </c>
      <c r="C31" s="66" t="s">
        <v>199</v>
      </c>
      <c r="D31" s="307" t="s">
        <v>197</v>
      </c>
      <c r="E31" s="307"/>
      <c r="F31" s="307"/>
      <c r="I31" s="62" t="s">
        <v>208</v>
      </c>
      <c r="J31" s="62" t="s">
        <v>188</v>
      </c>
      <c r="K31" s="94">
        <v>2000</v>
      </c>
      <c r="L31" s="93">
        <v>21</v>
      </c>
      <c r="M31" s="93">
        <v>17</v>
      </c>
      <c r="N31" s="93">
        <v>14</v>
      </c>
      <c r="O31" s="61" t="s">
        <v>258</v>
      </c>
      <c r="P31" s="61" t="s">
        <v>277</v>
      </c>
      <c r="Q31" s="61" t="s">
        <v>277</v>
      </c>
      <c r="R31" s="93">
        <f>L31*$R$47*Deflator!$F$33</f>
        <v>300.25799999999998</v>
      </c>
      <c r="S31" s="93">
        <f>M31*$R$47*Deflator!$F$33</f>
        <v>243.06599999999997</v>
      </c>
      <c r="T31" s="93">
        <f>N31*$R$47*Deflator!$F$33</f>
        <v>200.172</v>
      </c>
      <c r="U31" s="58">
        <f t="shared" si="0"/>
        <v>8.4881858291023793E-3</v>
      </c>
      <c r="V31" s="58">
        <f t="shared" si="1"/>
        <v>7.796476045282219E-3</v>
      </c>
      <c r="AD31" t="s">
        <v>208</v>
      </c>
      <c r="AE31" t="s">
        <v>275</v>
      </c>
      <c r="AF31" t="s">
        <v>279</v>
      </c>
      <c r="AG31">
        <v>910</v>
      </c>
      <c r="AH31">
        <f>AG31</f>
        <v>910</v>
      </c>
      <c r="AI31">
        <f>AH31</f>
        <v>910</v>
      </c>
    </row>
    <row r="32" spans="1:35" x14ac:dyDescent="0.25">
      <c r="A32" s="105">
        <v>0.89</v>
      </c>
      <c r="B32" s="104">
        <v>1500000</v>
      </c>
      <c r="C32" s="103" t="s">
        <v>234</v>
      </c>
      <c r="D32" s="308" t="s">
        <v>236</v>
      </c>
      <c r="E32" s="308"/>
      <c r="F32" s="308"/>
      <c r="I32" s="62" t="s">
        <v>208</v>
      </c>
      <c r="J32" s="62" t="s">
        <v>185</v>
      </c>
      <c r="K32" s="94">
        <v>2020</v>
      </c>
      <c r="L32" s="93">
        <v>77</v>
      </c>
      <c r="M32" s="93">
        <v>17</v>
      </c>
      <c r="N32" s="93">
        <v>14</v>
      </c>
      <c r="O32" s="61" t="s">
        <v>278</v>
      </c>
      <c r="P32" s="61" t="s">
        <v>277</v>
      </c>
      <c r="Q32" s="61" t="s">
        <v>277</v>
      </c>
      <c r="R32" s="93">
        <f>L32*$R$47*Deflator!$F$33</f>
        <v>1100.9459999999999</v>
      </c>
      <c r="S32" s="93">
        <f>M32*$R$47*Deflator!$F$33</f>
        <v>243.06599999999997</v>
      </c>
      <c r="T32" s="93">
        <f>N32*$R$47*Deflator!$F$33</f>
        <v>200.172</v>
      </c>
      <c r="U32" s="58">
        <f t="shared" si="0"/>
        <v>6.2286524074936622E-2</v>
      </c>
      <c r="V32" s="58">
        <f t="shared" si="1"/>
        <v>7.796476045282219E-3</v>
      </c>
      <c r="AD32" t="s">
        <v>212</v>
      </c>
      <c r="AE32" t="s">
        <v>275</v>
      </c>
      <c r="AF32" t="s">
        <v>274</v>
      </c>
      <c r="AG32" s="54">
        <f t="shared" ref="AG32:AI33" si="2">AG30/1000/(8760*3600*AG34)*1000000000</f>
        <v>94.072382885168267</v>
      </c>
      <c r="AH32" s="54">
        <f t="shared" si="2"/>
        <v>94.072382885168267</v>
      </c>
      <c r="AI32" s="54">
        <f t="shared" si="2"/>
        <v>94.072382885168267</v>
      </c>
    </row>
    <row r="33" spans="1:35" x14ac:dyDescent="0.25">
      <c r="A33" s="105">
        <v>0.79200000000000004</v>
      </c>
      <c r="B33" s="104">
        <v>1500000</v>
      </c>
      <c r="C33" s="103" t="s">
        <v>234</v>
      </c>
      <c r="D33" s="309" t="s">
        <v>276</v>
      </c>
      <c r="E33" s="309"/>
      <c r="F33" s="309"/>
      <c r="I33" s="62" t="s">
        <v>204</v>
      </c>
      <c r="J33" s="62" t="s">
        <v>192</v>
      </c>
      <c r="K33" s="94">
        <v>2020</v>
      </c>
      <c r="L33" s="93">
        <v>26</v>
      </c>
      <c r="M33" s="93">
        <v>26</v>
      </c>
      <c r="N33" s="93">
        <v>26</v>
      </c>
      <c r="O33" s="61" t="s">
        <v>267</v>
      </c>
      <c r="P33" s="61" t="s">
        <v>267</v>
      </c>
      <c r="Q33" s="61" t="s">
        <v>267</v>
      </c>
      <c r="R33" s="93">
        <f>L33*$R$47*Deflator!$F$33</f>
        <v>371.74799999999999</v>
      </c>
      <c r="S33" s="93">
        <f>M33*$R$47*Deflator!$F$33</f>
        <v>371.74799999999999</v>
      </c>
      <c r="T33" s="93">
        <f>N33*$R$47*Deflator!$F$33</f>
        <v>371.74799999999999</v>
      </c>
      <c r="U33" s="58">
        <f t="shared" si="0"/>
        <v>0</v>
      </c>
      <c r="V33" s="58">
        <f t="shared" si="1"/>
        <v>0</v>
      </c>
      <c r="AD33" t="s">
        <v>208</v>
      </c>
      <c r="AE33" t="s">
        <v>275</v>
      </c>
      <c r="AF33" t="s">
        <v>274</v>
      </c>
      <c r="AG33" s="54">
        <f t="shared" si="2"/>
        <v>32.062123005806413</v>
      </c>
      <c r="AH33" s="54">
        <f t="shared" si="2"/>
        <v>32.062123005806413</v>
      </c>
      <c r="AI33" s="54">
        <f t="shared" si="2"/>
        <v>32.062123005806413</v>
      </c>
    </row>
    <row r="34" spans="1:35" x14ac:dyDescent="0.25">
      <c r="A34" s="105">
        <v>0.69099999999999995</v>
      </c>
      <c r="B34" s="104">
        <v>1500000</v>
      </c>
      <c r="C34" s="103" t="s">
        <v>234</v>
      </c>
      <c r="D34" s="309" t="s">
        <v>273</v>
      </c>
      <c r="E34" s="309"/>
      <c r="F34" s="309"/>
      <c r="I34" s="62" t="s">
        <v>204</v>
      </c>
      <c r="J34" s="62" t="s">
        <v>188</v>
      </c>
      <c r="K34" s="94">
        <v>2020</v>
      </c>
      <c r="L34" s="93">
        <v>52</v>
      </c>
      <c r="M34" s="93">
        <v>34</v>
      </c>
      <c r="N34" s="93">
        <v>34</v>
      </c>
      <c r="O34" s="61" t="s">
        <v>267</v>
      </c>
      <c r="P34" s="61" t="s">
        <v>267</v>
      </c>
      <c r="Q34" s="61" t="s">
        <v>267</v>
      </c>
      <c r="R34" s="93">
        <f>L34*$R$47*Deflator!$F$33</f>
        <v>743.49599999999998</v>
      </c>
      <c r="S34" s="93">
        <f>M34*$R$47*Deflator!$F$33</f>
        <v>486.13199999999995</v>
      </c>
      <c r="T34" s="93">
        <f>N34*$R$47*Deflator!$F$33</f>
        <v>486.13199999999995</v>
      </c>
      <c r="U34" s="58">
        <f t="shared" si="0"/>
        <v>1.7140569987868837E-2</v>
      </c>
      <c r="V34" s="58">
        <f t="shared" si="1"/>
        <v>0</v>
      </c>
      <c r="AD34" t="s">
        <v>212</v>
      </c>
      <c r="AE34" t="s">
        <v>272</v>
      </c>
      <c r="AF34" t="s">
        <v>37</v>
      </c>
      <c r="AG34">
        <v>0.9</v>
      </c>
      <c r="AH34">
        <v>0.9</v>
      </c>
      <c r="AI34">
        <v>0.9</v>
      </c>
    </row>
    <row r="35" spans="1:35" x14ac:dyDescent="0.25">
      <c r="I35" s="62" t="s">
        <v>204</v>
      </c>
      <c r="J35" s="62" t="s">
        <v>185</v>
      </c>
      <c r="K35" s="94">
        <v>2020</v>
      </c>
      <c r="L35" s="93">
        <v>77</v>
      </c>
      <c r="M35" s="93">
        <v>43</v>
      </c>
      <c r="N35" s="93">
        <v>43</v>
      </c>
      <c r="O35" s="61" t="s">
        <v>267</v>
      </c>
      <c r="P35" s="61" t="s">
        <v>267</v>
      </c>
      <c r="Q35" s="61" t="s">
        <v>267</v>
      </c>
      <c r="R35" s="93">
        <f>L35*$R$47*Deflator!$F$33</f>
        <v>1100.9459999999999</v>
      </c>
      <c r="S35" s="93">
        <f>M35*$R$47*Deflator!$F$33</f>
        <v>614.81399999999996</v>
      </c>
      <c r="T35" s="93">
        <f>N35*$R$47*Deflator!$F$33</f>
        <v>614.81399999999996</v>
      </c>
      <c r="U35" s="58">
        <f t="shared" si="0"/>
        <v>2.3577877113833301E-2</v>
      </c>
      <c r="V35" s="58">
        <f t="shared" si="1"/>
        <v>0</v>
      </c>
      <c r="AD35" t="s">
        <v>208</v>
      </c>
      <c r="AE35" t="s">
        <v>272</v>
      </c>
      <c r="AF35" t="s">
        <v>37</v>
      </c>
      <c r="AG35">
        <v>0.9</v>
      </c>
      <c r="AH35">
        <v>0.9</v>
      </c>
      <c r="AI35">
        <v>0.9</v>
      </c>
    </row>
    <row r="36" spans="1:35" ht="15.75" thickBot="1" x14ac:dyDescent="0.3">
      <c r="E36" s="102" t="s">
        <v>271</v>
      </c>
      <c r="I36" s="62" t="s">
        <v>203</v>
      </c>
      <c r="J36" s="62" t="s">
        <v>188</v>
      </c>
      <c r="K36" s="94">
        <v>2020</v>
      </c>
      <c r="L36" s="93">
        <v>52</v>
      </c>
      <c r="M36" s="93">
        <v>34</v>
      </c>
      <c r="N36" s="93">
        <v>34</v>
      </c>
      <c r="O36" s="61" t="s">
        <v>267</v>
      </c>
      <c r="P36" s="61" t="s">
        <v>267</v>
      </c>
      <c r="Q36" s="61" t="s">
        <v>267</v>
      </c>
      <c r="R36" s="93">
        <f>L36*$R$47*Deflator!$F$33</f>
        <v>743.49599999999998</v>
      </c>
      <c r="S36" s="93">
        <f>M36*$R$47*Deflator!$F$33</f>
        <v>486.13199999999995</v>
      </c>
      <c r="T36" s="93">
        <f>N36*$R$47*Deflator!$F$33</f>
        <v>486.13199999999995</v>
      </c>
      <c r="U36" s="58">
        <f t="shared" si="0"/>
        <v>1.7140569987868837E-2</v>
      </c>
      <c r="V36" s="58">
        <f t="shared" si="1"/>
        <v>0</v>
      </c>
      <c r="AD36" t="s">
        <v>212</v>
      </c>
      <c r="AE36" t="s">
        <v>266</v>
      </c>
      <c r="AF36" t="s">
        <v>37</v>
      </c>
      <c r="AG36">
        <v>0.6</v>
      </c>
      <c r="AH36">
        <v>0.6</v>
      </c>
      <c r="AI36">
        <v>0.6</v>
      </c>
    </row>
    <row r="37" spans="1:35" x14ac:dyDescent="0.25">
      <c r="A37" s="101" t="s">
        <v>270</v>
      </c>
      <c r="B37" s="100"/>
      <c r="C37" s="100"/>
      <c r="D37" s="100"/>
      <c r="E37" s="89" t="s">
        <v>269</v>
      </c>
      <c r="F37" s="99">
        <f>B39/Y10</f>
        <v>0.11416666666666667</v>
      </c>
      <c r="G37" s="87" t="s">
        <v>268</v>
      </c>
      <c r="I37" s="62" t="s">
        <v>196</v>
      </c>
      <c r="J37" s="62" t="s">
        <v>188</v>
      </c>
      <c r="K37" s="94">
        <v>2020</v>
      </c>
      <c r="L37" s="93">
        <v>52</v>
      </c>
      <c r="M37" s="93">
        <v>34</v>
      </c>
      <c r="N37" s="93">
        <v>34</v>
      </c>
      <c r="O37" s="61" t="s">
        <v>267</v>
      </c>
      <c r="P37" s="61" t="s">
        <v>267</v>
      </c>
      <c r="Q37" s="61" t="s">
        <v>267</v>
      </c>
      <c r="R37" s="93">
        <f>L37*$R$47*Deflator!$F$33</f>
        <v>743.49599999999998</v>
      </c>
      <c r="S37" s="93">
        <f>M37*$R$47*Deflator!$F$33</f>
        <v>486.13199999999995</v>
      </c>
      <c r="T37" s="93">
        <f>N37*$R$47*Deflator!$F$33</f>
        <v>486.13199999999995</v>
      </c>
      <c r="U37" s="58">
        <f t="shared" si="0"/>
        <v>1.7140569987868837E-2</v>
      </c>
      <c r="V37" s="58">
        <f t="shared" si="1"/>
        <v>0</v>
      </c>
      <c r="AD37" t="s">
        <v>208</v>
      </c>
      <c r="AE37" t="s">
        <v>266</v>
      </c>
      <c r="AF37" t="s">
        <v>37</v>
      </c>
      <c r="AG37">
        <v>0.76</v>
      </c>
      <c r="AH37">
        <v>0.76</v>
      </c>
      <c r="AI37">
        <v>0.76</v>
      </c>
    </row>
    <row r="38" spans="1:35" x14ac:dyDescent="0.25">
      <c r="A38" s="98" t="s">
        <v>265</v>
      </c>
      <c r="B38" s="96"/>
      <c r="C38" s="96"/>
      <c r="D38" s="96"/>
      <c r="E38" s="86"/>
      <c r="F38" s="95">
        <f>F37/1000000*1000000000</f>
        <v>114.16666666666666</v>
      </c>
      <c r="G38" s="84" t="s">
        <v>259</v>
      </c>
      <c r="I38" s="62" t="s">
        <v>193</v>
      </c>
      <c r="J38" s="62" t="s">
        <v>192</v>
      </c>
      <c r="K38" s="94">
        <v>2030</v>
      </c>
      <c r="L38" s="62"/>
      <c r="M38" s="93">
        <v>69</v>
      </c>
      <c r="N38" s="93">
        <v>69</v>
      </c>
      <c r="O38" s="61"/>
      <c r="P38" s="61" t="s">
        <v>258</v>
      </c>
      <c r="Q38" s="61" t="s">
        <v>258</v>
      </c>
      <c r="R38" s="93"/>
      <c r="S38" s="93">
        <f>M38*$R$47*Deflator!$F$33</f>
        <v>986.5619999999999</v>
      </c>
      <c r="T38" s="93">
        <f>N38*$R$47*Deflator!$F$33</f>
        <v>986.5619999999999</v>
      </c>
      <c r="U38" s="58"/>
      <c r="V38" s="58">
        <f>(S38/T38)^(1/25)-1</f>
        <v>0</v>
      </c>
    </row>
    <row r="39" spans="1:35" x14ac:dyDescent="0.25">
      <c r="A39" s="97" t="s">
        <v>264</v>
      </c>
      <c r="B39" s="96">
        <v>13.7</v>
      </c>
      <c r="C39" s="96" t="s">
        <v>263</v>
      </c>
      <c r="D39" s="96"/>
      <c r="E39" s="86" t="s">
        <v>102</v>
      </c>
      <c r="F39" s="95">
        <f>F38*0.776</f>
        <v>88.593333333333334</v>
      </c>
      <c r="G39" s="84" t="s">
        <v>262</v>
      </c>
      <c r="I39" s="62" t="s">
        <v>186</v>
      </c>
      <c r="J39" s="62" t="s">
        <v>188</v>
      </c>
      <c r="K39" s="94">
        <v>2000</v>
      </c>
      <c r="L39" s="93">
        <v>31</v>
      </c>
      <c r="M39" s="93">
        <v>17</v>
      </c>
      <c r="N39" s="93">
        <v>17</v>
      </c>
      <c r="O39" s="61" t="s">
        <v>258</v>
      </c>
      <c r="P39" s="61" t="s">
        <v>257</v>
      </c>
      <c r="Q39" s="61" t="s">
        <v>256</v>
      </c>
      <c r="R39" s="93">
        <f>L39*$R$47*Deflator!$F$33</f>
        <v>443.23799999999994</v>
      </c>
      <c r="S39" s="93">
        <f>M39*$R$47*Deflator!$F$33</f>
        <v>243.06599999999997</v>
      </c>
      <c r="T39" s="93">
        <f>N39*$R$47*Deflator!$F$33</f>
        <v>243.06599999999997</v>
      </c>
      <c r="U39" s="58">
        <f>(R39/S39)^(1/25)-1</f>
        <v>2.4322024691141753E-2</v>
      </c>
      <c r="V39" s="58">
        <f>(S39/T39)^(1/25)-1</f>
        <v>0</v>
      </c>
    </row>
    <row r="40" spans="1:35" ht="30" x14ac:dyDescent="0.25">
      <c r="A40" s="97" t="s">
        <v>261</v>
      </c>
      <c r="B40" s="96">
        <v>0.44</v>
      </c>
      <c r="C40" s="96" t="s">
        <v>260</v>
      </c>
      <c r="D40" s="96"/>
      <c r="E40" s="86" t="s">
        <v>252</v>
      </c>
      <c r="F40" s="95">
        <f>F38*(1-0.776)</f>
        <v>25.573333333333327</v>
      </c>
      <c r="G40" s="84" t="s">
        <v>259</v>
      </c>
      <c r="I40" s="62" t="s">
        <v>186</v>
      </c>
      <c r="J40" s="62" t="s">
        <v>185</v>
      </c>
      <c r="K40" s="94">
        <v>2000</v>
      </c>
      <c r="L40" s="93">
        <v>112</v>
      </c>
      <c r="M40" s="93">
        <v>27</v>
      </c>
      <c r="N40" s="93">
        <v>17</v>
      </c>
      <c r="O40" s="61" t="s">
        <v>258</v>
      </c>
      <c r="P40" s="61" t="s">
        <v>257</v>
      </c>
      <c r="Q40" s="61" t="s">
        <v>256</v>
      </c>
      <c r="R40" s="93">
        <f>L40*$R$47*Deflator!$F$33</f>
        <v>1601.376</v>
      </c>
      <c r="S40" s="93">
        <f>M40*$R$47*Deflator!$F$33</f>
        <v>386.04599999999994</v>
      </c>
      <c r="T40" s="93">
        <f>N40*$R$47*Deflator!$F$33</f>
        <v>243.06599999999997</v>
      </c>
      <c r="U40" s="58">
        <f>(R40/S40)^(1/25)-1</f>
        <v>5.8556809757487338E-2</v>
      </c>
      <c r="V40" s="58">
        <f>(S40/T40)^(1/25)-1</f>
        <v>1.8677218316921262E-2</v>
      </c>
    </row>
    <row r="41" spans="1:35" ht="15.75" thickBot="1" x14ac:dyDescent="0.3">
      <c r="A41" s="92"/>
      <c r="B41" s="91"/>
      <c r="C41" s="91"/>
      <c r="D41" s="91"/>
      <c r="E41" s="83" t="s">
        <v>252</v>
      </c>
      <c r="F41" s="90">
        <f>F40/21</f>
        <v>1.2177777777777774</v>
      </c>
      <c r="G41" s="81" t="s">
        <v>255</v>
      </c>
      <c r="L41" s="57"/>
      <c r="M41" t="s">
        <v>183</v>
      </c>
      <c r="S41" t="s">
        <v>182</v>
      </c>
    </row>
    <row r="42" spans="1:35" x14ac:dyDescent="0.25">
      <c r="E42" s="89" t="s">
        <v>102</v>
      </c>
      <c r="F42" s="88">
        <f>F39*$A$65</f>
        <v>66.444999999999993</v>
      </c>
      <c r="G42" s="87" t="s">
        <v>254</v>
      </c>
    </row>
    <row r="43" spans="1:35" x14ac:dyDescent="0.25">
      <c r="E43" s="86" t="s">
        <v>252</v>
      </c>
      <c r="F43" s="85">
        <f>F40*$A$65</f>
        <v>19.179999999999996</v>
      </c>
      <c r="G43" s="84" t="s">
        <v>254</v>
      </c>
      <c r="I43" s="55" t="s">
        <v>253</v>
      </c>
      <c r="J43" s="55"/>
      <c r="K43" s="55"/>
      <c r="L43" s="55"/>
      <c r="M43" s="55"/>
      <c r="N43" s="55"/>
    </row>
    <row r="44" spans="1:35" ht="15.75" thickBot="1" x14ac:dyDescent="0.3">
      <c r="E44" s="83" t="s">
        <v>252</v>
      </c>
      <c r="F44" s="82">
        <f>F41*$A$65</f>
        <v>0.91333333333333311</v>
      </c>
      <c r="G44" s="81" t="s">
        <v>251</v>
      </c>
      <c r="I44" s="55" t="s">
        <v>250</v>
      </c>
      <c r="J44" s="55"/>
      <c r="K44" s="55"/>
      <c r="L44" s="55"/>
      <c r="M44" s="55"/>
      <c r="N44" s="55"/>
    </row>
    <row r="45" spans="1:35" x14ac:dyDescent="0.25">
      <c r="I45" s="55"/>
      <c r="J45" s="55"/>
      <c r="K45" s="55"/>
      <c r="L45" s="55"/>
      <c r="M45" s="55"/>
      <c r="N45" s="55"/>
    </row>
    <row r="46" spans="1:35" ht="39" customHeight="1" x14ac:dyDescent="0.25">
      <c r="I46" s="313" t="s">
        <v>220</v>
      </c>
      <c r="J46" s="313" t="s">
        <v>219</v>
      </c>
      <c r="K46" s="315" t="s">
        <v>218</v>
      </c>
      <c r="L46" s="303" t="s">
        <v>249</v>
      </c>
      <c r="M46" s="304"/>
      <c r="N46" s="305"/>
      <c r="R46" t="s">
        <v>248</v>
      </c>
    </row>
    <row r="47" spans="1:35" x14ac:dyDescent="0.25">
      <c r="A47" s="80" t="s">
        <v>247</v>
      </c>
      <c r="I47" s="314"/>
      <c r="J47" s="314"/>
      <c r="K47" s="316"/>
      <c r="L47" s="70">
        <v>2000</v>
      </c>
      <c r="M47" s="70">
        <v>2025</v>
      </c>
      <c r="N47" s="70">
        <v>2050</v>
      </c>
      <c r="R47">
        <v>1.2</v>
      </c>
    </row>
    <row r="48" spans="1:35" x14ac:dyDescent="0.25">
      <c r="I48" s="62" t="s">
        <v>212</v>
      </c>
      <c r="J48" s="62" t="s">
        <v>192</v>
      </c>
      <c r="K48" s="61" t="s">
        <v>184</v>
      </c>
      <c r="L48" s="60">
        <v>0.9</v>
      </c>
      <c r="M48" s="60">
        <v>0.8</v>
      </c>
      <c r="N48" s="60">
        <v>0.7</v>
      </c>
    </row>
    <row r="49" spans="1:14" x14ac:dyDescent="0.25">
      <c r="A49" s="296" t="s">
        <v>246</v>
      </c>
      <c r="B49" s="296"/>
      <c r="C49" s="296"/>
      <c r="D49" s="296"/>
      <c r="E49" s="296"/>
      <c r="F49" s="296"/>
      <c r="G49" s="296"/>
      <c r="I49" s="62" t="s">
        <v>245</v>
      </c>
      <c r="J49" s="62" t="s">
        <v>192</v>
      </c>
      <c r="K49" s="61" t="s">
        <v>184</v>
      </c>
      <c r="L49" s="61" t="s">
        <v>244</v>
      </c>
      <c r="M49" s="61" t="s">
        <v>244</v>
      </c>
      <c r="N49" s="61" t="s">
        <v>244</v>
      </c>
    </row>
    <row r="50" spans="1:14" x14ac:dyDescent="0.25">
      <c r="I50" s="62" t="s">
        <v>243</v>
      </c>
      <c r="J50" s="62"/>
      <c r="K50" s="61"/>
      <c r="L50" s="61"/>
      <c r="M50" s="61"/>
      <c r="N50" s="61"/>
    </row>
    <row r="51" spans="1:14" x14ac:dyDescent="0.25">
      <c r="A51" s="65" t="s">
        <v>242</v>
      </c>
      <c r="B51" s="65" t="s">
        <v>241</v>
      </c>
      <c r="I51" s="62" t="s">
        <v>208</v>
      </c>
      <c r="J51" s="62" t="s">
        <v>192</v>
      </c>
      <c r="K51" s="61" t="s">
        <v>207</v>
      </c>
      <c r="L51" s="60">
        <v>0.2</v>
      </c>
      <c r="M51" s="60">
        <v>0.2</v>
      </c>
      <c r="N51" s="60">
        <v>0.1</v>
      </c>
    </row>
    <row r="52" spans="1:14" x14ac:dyDescent="0.25">
      <c r="A52" s="65" t="s">
        <v>240</v>
      </c>
      <c r="B52" s="65" t="s">
        <v>239</v>
      </c>
      <c r="I52" s="62" t="s">
        <v>208</v>
      </c>
      <c r="J52" s="62" t="s">
        <v>188</v>
      </c>
      <c r="K52" s="61" t="s">
        <v>207</v>
      </c>
      <c r="L52" s="60">
        <v>0.5</v>
      </c>
      <c r="M52" s="60">
        <v>0.4</v>
      </c>
      <c r="N52" s="60">
        <v>0.3</v>
      </c>
    </row>
    <row r="53" spans="1:14" x14ac:dyDescent="0.25">
      <c r="A53" s="65" t="s">
        <v>238</v>
      </c>
      <c r="B53" s="65" t="s">
        <v>237</v>
      </c>
      <c r="I53" s="62" t="s">
        <v>208</v>
      </c>
      <c r="J53" s="62" t="s">
        <v>185</v>
      </c>
      <c r="K53" s="61" t="s">
        <v>207</v>
      </c>
      <c r="L53" s="60">
        <v>1.8</v>
      </c>
      <c r="M53" s="60">
        <v>0.4</v>
      </c>
      <c r="N53" s="60">
        <v>0.3</v>
      </c>
    </row>
    <row r="54" spans="1:14" x14ac:dyDescent="0.25">
      <c r="I54" s="62" t="s">
        <v>204</v>
      </c>
      <c r="J54" s="62" t="s">
        <v>192</v>
      </c>
      <c r="K54" s="61" t="s">
        <v>195</v>
      </c>
      <c r="L54" s="60">
        <v>1.1000000000000001</v>
      </c>
      <c r="M54" s="60">
        <v>1.1000000000000001</v>
      </c>
      <c r="N54" s="60">
        <v>1.1000000000000001</v>
      </c>
    </row>
    <row r="55" spans="1:14" x14ac:dyDescent="0.25">
      <c r="A55" s="16" t="s">
        <v>205</v>
      </c>
      <c r="I55" s="62" t="s">
        <v>204</v>
      </c>
      <c r="J55" s="62" t="s">
        <v>188</v>
      </c>
      <c r="K55" s="61" t="s">
        <v>195</v>
      </c>
      <c r="L55" s="60">
        <v>2.1</v>
      </c>
      <c r="M55" s="60">
        <v>1.4</v>
      </c>
      <c r="N55" s="60">
        <v>1.4</v>
      </c>
    </row>
    <row r="56" spans="1:14" x14ac:dyDescent="0.25">
      <c r="I56" s="62" t="s">
        <v>204</v>
      </c>
      <c r="J56" s="62" t="s">
        <v>185</v>
      </c>
      <c r="K56" s="61" t="s">
        <v>195</v>
      </c>
      <c r="L56" s="60">
        <v>3.2</v>
      </c>
      <c r="M56" s="60">
        <v>1.8</v>
      </c>
      <c r="N56" s="60">
        <v>1.8</v>
      </c>
    </row>
    <row r="57" spans="1:14" x14ac:dyDescent="0.25">
      <c r="A57" s="66" t="s">
        <v>172</v>
      </c>
      <c r="B57" s="66" t="s">
        <v>202</v>
      </c>
      <c r="C57" s="66" t="s">
        <v>201</v>
      </c>
      <c r="D57" s="66" t="s">
        <v>200</v>
      </c>
      <c r="E57" s="66" t="s">
        <v>199</v>
      </c>
      <c r="F57" s="66" t="s">
        <v>198</v>
      </c>
      <c r="G57" s="66" t="s">
        <v>197</v>
      </c>
      <c r="I57" s="62" t="s">
        <v>203</v>
      </c>
      <c r="J57" s="62" t="s">
        <v>188</v>
      </c>
      <c r="K57" s="61" t="s">
        <v>195</v>
      </c>
      <c r="L57" s="60">
        <v>2.1</v>
      </c>
      <c r="M57" s="60">
        <v>1.4</v>
      </c>
      <c r="N57" s="60">
        <v>1.4</v>
      </c>
    </row>
    <row r="58" spans="1:14" ht="45" x14ac:dyDescent="0.25">
      <c r="A58" s="78">
        <v>0.89</v>
      </c>
      <c r="B58" s="65"/>
      <c r="C58" s="65"/>
      <c r="D58" s="77">
        <v>1500000</v>
      </c>
      <c r="E58" s="63" t="s">
        <v>234</v>
      </c>
      <c r="F58" s="63" t="s">
        <v>187</v>
      </c>
      <c r="G58" s="79" t="s">
        <v>236</v>
      </c>
      <c r="I58" s="62" t="s">
        <v>196</v>
      </c>
      <c r="J58" s="62" t="s">
        <v>188</v>
      </c>
      <c r="K58" s="61" t="s">
        <v>195</v>
      </c>
      <c r="L58" s="60">
        <v>2.1</v>
      </c>
      <c r="M58" s="60">
        <v>1.4</v>
      </c>
      <c r="N58" s="60">
        <v>1.4</v>
      </c>
    </row>
    <row r="59" spans="1:14" x14ac:dyDescent="0.25">
      <c r="A59" s="78">
        <v>0.79200000000000004</v>
      </c>
      <c r="B59" s="65"/>
      <c r="C59" s="65"/>
      <c r="D59" s="77">
        <v>1500000</v>
      </c>
      <c r="E59" s="63" t="s">
        <v>234</v>
      </c>
      <c r="F59" s="63" t="s">
        <v>187</v>
      </c>
      <c r="G59" s="73" t="s">
        <v>235</v>
      </c>
      <c r="I59" s="62" t="s">
        <v>193</v>
      </c>
      <c r="J59" s="62" t="s">
        <v>192</v>
      </c>
      <c r="K59" s="61" t="s">
        <v>191</v>
      </c>
      <c r="L59" s="61"/>
      <c r="M59" s="60">
        <v>2.4</v>
      </c>
      <c r="N59" s="60">
        <v>2.4</v>
      </c>
    </row>
    <row r="60" spans="1:14" x14ac:dyDescent="0.25">
      <c r="A60" s="78">
        <v>0.69099999999999995</v>
      </c>
      <c r="B60" s="65"/>
      <c r="C60" s="65"/>
      <c r="D60" s="77">
        <v>1500000</v>
      </c>
      <c r="E60" s="63" t="s">
        <v>234</v>
      </c>
      <c r="F60" s="63" t="s">
        <v>187</v>
      </c>
      <c r="G60" s="73" t="s">
        <v>233</v>
      </c>
      <c r="I60" s="62" t="s">
        <v>186</v>
      </c>
      <c r="J60" s="62" t="s">
        <v>188</v>
      </c>
      <c r="K60" s="61" t="s">
        <v>184</v>
      </c>
      <c r="L60" s="60">
        <v>0.9</v>
      </c>
      <c r="M60" s="60">
        <v>0.5</v>
      </c>
      <c r="N60" s="60">
        <v>0.5</v>
      </c>
    </row>
    <row r="61" spans="1:14" x14ac:dyDescent="0.25">
      <c r="A61" s="78">
        <v>0.81200000000000006</v>
      </c>
      <c r="B61" s="65"/>
      <c r="C61" s="65"/>
      <c r="D61" s="77"/>
      <c r="E61" s="63"/>
      <c r="F61" s="63" t="s">
        <v>232</v>
      </c>
      <c r="G61" s="73"/>
      <c r="I61" s="62" t="s">
        <v>186</v>
      </c>
      <c r="J61" s="62" t="s">
        <v>185</v>
      </c>
      <c r="K61" s="61" t="s">
        <v>184</v>
      </c>
      <c r="L61" s="60">
        <v>3.3</v>
      </c>
      <c r="M61" s="60">
        <v>0.8</v>
      </c>
      <c r="N61" s="60">
        <v>0.5</v>
      </c>
    </row>
    <row r="62" spans="1:14" x14ac:dyDescent="0.25">
      <c r="A62" s="63" t="s">
        <v>231</v>
      </c>
      <c r="B62" s="64">
        <v>0.75</v>
      </c>
      <c r="C62" s="64">
        <v>0.8</v>
      </c>
      <c r="D62" s="63"/>
      <c r="E62" s="63"/>
      <c r="F62" s="63" t="s">
        <v>230</v>
      </c>
      <c r="G62" s="73"/>
      <c r="I62" s="76"/>
      <c r="J62" s="76"/>
      <c r="K62" s="75"/>
      <c r="L62" s="74"/>
      <c r="M62" s="74"/>
      <c r="N62" s="74"/>
    </row>
    <row r="63" spans="1:14" x14ac:dyDescent="0.25">
      <c r="A63" s="63" t="s">
        <v>229</v>
      </c>
      <c r="B63" s="64">
        <v>0.67</v>
      </c>
      <c r="C63" s="64">
        <v>0.73</v>
      </c>
      <c r="D63" s="63"/>
      <c r="E63" s="63"/>
      <c r="F63" s="63" t="s">
        <v>228</v>
      </c>
      <c r="G63" s="73"/>
      <c r="I63" s="55" t="s">
        <v>227</v>
      </c>
      <c r="J63" s="55"/>
      <c r="K63" s="55"/>
      <c r="L63" s="55"/>
      <c r="M63" s="55"/>
      <c r="N63" s="55"/>
    </row>
    <row r="64" spans="1:14" x14ac:dyDescent="0.25">
      <c r="A64" s="63" t="str">
        <f>O30</f>
        <v>80%</v>
      </c>
      <c r="B64" s="65"/>
      <c r="C64" s="65"/>
      <c r="D64" s="65"/>
      <c r="E64" s="65"/>
      <c r="F64" s="63" t="s">
        <v>190</v>
      </c>
      <c r="G64" s="65" t="s">
        <v>226</v>
      </c>
      <c r="I64" s="55" t="s">
        <v>225</v>
      </c>
      <c r="J64" s="55"/>
      <c r="K64" s="55"/>
      <c r="L64" s="55"/>
      <c r="M64" s="55"/>
      <c r="N64" s="55"/>
    </row>
    <row r="65" spans="1:19" x14ac:dyDescent="0.25">
      <c r="A65" s="63" t="str">
        <f>O31</f>
        <v>75%</v>
      </c>
      <c r="B65" s="65"/>
      <c r="C65" s="65"/>
      <c r="D65" s="65"/>
      <c r="E65" s="65"/>
      <c r="F65" s="63" t="s">
        <v>190</v>
      </c>
      <c r="G65" s="65" t="s">
        <v>224</v>
      </c>
      <c r="I65" s="55" t="s">
        <v>223</v>
      </c>
      <c r="J65" s="55"/>
      <c r="K65" s="55"/>
      <c r="L65" s="55"/>
      <c r="M65" s="55"/>
      <c r="N65" s="55"/>
    </row>
    <row r="66" spans="1:19" x14ac:dyDescent="0.25">
      <c r="A66" s="63" t="str">
        <f>O32</f>
        <v>65%</v>
      </c>
      <c r="B66" s="65"/>
      <c r="C66" s="65"/>
      <c r="D66" s="65"/>
      <c r="E66" s="65"/>
      <c r="F66" s="63" t="s">
        <v>190</v>
      </c>
      <c r="G66" s="65" t="s">
        <v>222</v>
      </c>
      <c r="I66" s="55"/>
      <c r="J66" s="55"/>
      <c r="K66" s="55"/>
      <c r="L66" s="55"/>
      <c r="M66" s="55"/>
      <c r="N66" s="55"/>
    </row>
    <row r="67" spans="1:19" x14ac:dyDescent="0.25">
      <c r="A67" s="72" t="s">
        <v>221</v>
      </c>
      <c r="I67" s="301" t="s">
        <v>220</v>
      </c>
      <c r="J67" s="301" t="s">
        <v>219</v>
      </c>
      <c r="K67" s="302" t="s">
        <v>218</v>
      </c>
      <c r="L67" s="298" t="s">
        <v>217</v>
      </c>
      <c r="M67" s="297"/>
      <c r="N67" s="297"/>
      <c r="O67" s="298" t="s">
        <v>216</v>
      </c>
      <c r="P67" s="297"/>
      <c r="Q67" s="297"/>
      <c r="R67" s="300" t="s">
        <v>215</v>
      </c>
      <c r="S67" s="300"/>
    </row>
    <row r="68" spans="1:19" x14ac:dyDescent="0.25">
      <c r="I68" s="301"/>
      <c r="J68" s="301"/>
      <c r="K68" s="302"/>
      <c r="L68" s="70">
        <v>2000</v>
      </c>
      <c r="M68" s="70">
        <v>2025</v>
      </c>
      <c r="N68" s="70">
        <v>2050</v>
      </c>
      <c r="O68" s="70">
        <v>2000</v>
      </c>
      <c r="P68" s="70">
        <v>2025</v>
      </c>
      <c r="Q68" s="70">
        <v>2050</v>
      </c>
      <c r="R68" s="66" t="s">
        <v>214</v>
      </c>
      <c r="S68" s="66" t="s">
        <v>213</v>
      </c>
    </row>
    <row r="69" spans="1:19" x14ac:dyDescent="0.25">
      <c r="I69" s="62" t="s">
        <v>212</v>
      </c>
      <c r="J69" s="62" t="s">
        <v>192</v>
      </c>
      <c r="K69" s="61" t="s">
        <v>184</v>
      </c>
      <c r="L69" s="60">
        <v>1.5</v>
      </c>
      <c r="M69" s="60">
        <v>1.4</v>
      </c>
      <c r="N69" s="60">
        <v>1.2</v>
      </c>
      <c r="O69" s="60">
        <f>L69*$R$47*Deflator!$F$33</f>
        <v>21.446999999999996</v>
      </c>
      <c r="P69" s="60">
        <f>M69*$R$47*Deflator!$F$33</f>
        <v>20.017199999999999</v>
      </c>
      <c r="Q69" s="60">
        <f>N69*$R$47*Deflator!$F$33</f>
        <v>17.157599999999999</v>
      </c>
      <c r="R69" s="59">
        <f t="shared" ref="R69:R78" si="3">(O69/P69)^(1/25)-1</f>
        <v>2.7635263779590691E-3</v>
      </c>
      <c r="S69" s="58">
        <f t="shared" ref="S69:S78" si="4">(P69/Q69)^(1/25)-1</f>
        <v>6.1850762710147222E-3</v>
      </c>
    </row>
    <row r="70" spans="1:19" ht="25.5" x14ac:dyDescent="0.3">
      <c r="A70" s="56" t="s">
        <v>211</v>
      </c>
      <c r="B70" s="19"/>
      <c r="C70" s="19"/>
      <c r="D70" s="19"/>
      <c r="E70" s="19"/>
      <c r="F70" s="19"/>
      <c r="G70" s="19"/>
      <c r="I70" s="69" t="s">
        <v>210</v>
      </c>
      <c r="J70" s="62" t="s">
        <v>192</v>
      </c>
      <c r="K70" s="61" t="s">
        <v>184</v>
      </c>
      <c r="L70" s="68">
        <v>10.8</v>
      </c>
      <c r="M70" s="68">
        <v>10.8</v>
      </c>
      <c r="N70" s="68">
        <v>10.8</v>
      </c>
      <c r="O70" s="68">
        <f>L70*$R$47*Deflator!$F$33</f>
        <v>154.41839999999999</v>
      </c>
      <c r="P70" s="68">
        <f>M70*$R$47*Deflator!$F$33</f>
        <v>154.41839999999999</v>
      </c>
      <c r="Q70" s="68">
        <f>N70*$R$47*Deflator!$F$33</f>
        <v>154.41839999999999</v>
      </c>
      <c r="R70" s="59">
        <f t="shared" si="3"/>
        <v>0</v>
      </c>
      <c r="S70" s="58">
        <f t="shared" si="4"/>
        <v>0</v>
      </c>
    </row>
    <row r="71" spans="1:19" x14ac:dyDescent="0.25">
      <c r="I71" s="62" t="s">
        <v>208</v>
      </c>
      <c r="J71" s="62" t="s">
        <v>192</v>
      </c>
      <c r="K71" s="61" t="s">
        <v>207</v>
      </c>
      <c r="L71" s="60">
        <v>0.3</v>
      </c>
      <c r="M71" s="60">
        <v>0.3</v>
      </c>
      <c r="N71" s="60">
        <v>0.2</v>
      </c>
      <c r="O71" s="60">
        <f>L71*$R$47*Deflator!$F$33</f>
        <v>4.2893999999999997</v>
      </c>
      <c r="P71" s="60">
        <f>M71*$R$47*Deflator!$F$33</f>
        <v>4.2893999999999997</v>
      </c>
      <c r="Q71" s="60">
        <f>N71*$R$47*Deflator!$F$33</f>
        <v>2.8595999999999995</v>
      </c>
      <c r="R71" s="59">
        <f t="shared" si="3"/>
        <v>0</v>
      </c>
      <c r="S71" s="58">
        <f t="shared" si="4"/>
        <v>1.6350839811869022E-2</v>
      </c>
    </row>
    <row r="72" spans="1:19" x14ac:dyDescent="0.25">
      <c r="A72" s="67" t="s">
        <v>198</v>
      </c>
      <c r="B72" s="67" t="s">
        <v>209</v>
      </c>
      <c r="I72" s="62" t="s">
        <v>208</v>
      </c>
      <c r="J72" s="62" t="s">
        <v>188</v>
      </c>
      <c r="K72" s="61" t="s">
        <v>207</v>
      </c>
      <c r="L72" s="60">
        <v>0.8</v>
      </c>
      <c r="M72" s="60">
        <v>0.7</v>
      </c>
      <c r="N72" s="60">
        <v>0.5</v>
      </c>
      <c r="O72" s="60">
        <f>L72*$R$47*Deflator!$F$33</f>
        <v>11.438399999999998</v>
      </c>
      <c r="P72" s="60">
        <f>M72*$R$47*Deflator!$F$33</f>
        <v>10.008599999999999</v>
      </c>
      <c r="Q72" s="60">
        <f>N72*$R$47*Deflator!$F$33</f>
        <v>7.1489999999999991</v>
      </c>
      <c r="R72" s="59">
        <f t="shared" si="3"/>
        <v>5.3555456419747127E-3</v>
      </c>
      <c r="S72" s="58">
        <f t="shared" si="4"/>
        <v>1.354986801622915E-2</v>
      </c>
    </row>
    <row r="73" spans="1:19" x14ac:dyDescent="0.25">
      <c r="I73" s="62" t="s">
        <v>208</v>
      </c>
      <c r="J73" s="62" t="s">
        <v>185</v>
      </c>
      <c r="K73" s="61" t="s">
        <v>207</v>
      </c>
      <c r="L73" s="60">
        <v>3.1</v>
      </c>
      <c r="M73" s="60">
        <v>0.7</v>
      </c>
      <c r="N73" s="60">
        <v>0.5</v>
      </c>
      <c r="O73" s="60">
        <f>L73*$R$47*Deflator!$F$33</f>
        <v>44.323799999999991</v>
      </c>
      <c r="P73" s="60">
        <f>M73*$R$47*Deflator!$F$33</f>
        <v>10.008599999999999</v>
      </c>
      <c r="Q73" s="60">
        <f>N73*$R$47*Deflator!$F$33</f>
        <v>7.1489999999999991</v>
      </c>
      <c r="R73" s="59">
        <f t="shared" si="3"/>
        <v>6.1330258552347861E-2</v>
      </c>
      <c r="S73" s="58">
        <f t="shared" si="4"/>
        <v>1.354986801622915E-2</v>
      </c>
    </row>
    <row r="74" spans="1:19" x14ac:dyDescent="0.25">
      <c r="A74" t="s">
        <v>206</v>
      </c>
      <c r="I74" s="62" t="s">
        <v>204</v>
      </c>
      <c r="J74" s="62" t="s">
        <v>192</v>
      </c>
      <c r="K74" s="61" t="s">
        <v>195</v>
      </c>
      <c r="L74" s="60">
        <v>1.8</v>
      </c>
      <c r="M74" s="60">
        <v>1.8</v>
      </c>
      <c r="N74" s="60">
        <v>1.8</v>
      </c>
      <c r="O74" s="60">
        <f>L74*$R$47*Deflator!$F$33</f>
        <v>25.7364</v>
      </c>
      <c r="P74" s="60">
        <f>M74*$R$47*Deflator!$F$33</f>
        <v>25.7364</v>
      </c>
      <c r="Q74" s="60">
        <f>N74*$R$47*Deflator!$F$33</f>
        <v>25.7364</v>
      </c>
      <c r="R74" s="59">
        <f t="shared" si="3"/>
        <v>0</v>
      </c>
      <c r="S74" s="58">
        <f t="shared" si="4"/>
        <v>0</v>
      </c>
    </row>
    <row r="75" spans="1:19" x14ac:dyDescent="0.25">
      <c r="I75" s="62" t="s">
        <v>204</v>
      </c>
      <c r="J75" s="62" t="s">
        <v>188</v>
      </c>
      <c r="K75" s="61" t="s">
        <v>195</v>
      </c>
      <c r="L75" s="60">
        <v>3.6</v>
      </c>
      <c r="M75" s="60">
        <v>2.4</v>
      </c>
      <c r="N75" s="60">
        <v>2.4</v>
      </c>
      <c r="O75" s="60">
        <f>L75*$R$47*Deflator!$F$33</f>
        <v>51.472799999999999</v>
      </c>
      <c r="P75" s="60">
        <f>M75*$R$47*Deflator!$F$33</f>
        <v>34.315199999999997</v>
      </c>
      <c r="Q75" s="60">
        <f>N75*$R$47*Deflator!$F$33</f>
        <v>34.315199999999997</v>
      </c>
      <c r="R75" s="59">
        <f t="shared" si="3"/>
        <v>1.6350839811869022E-2</v>
      </c>
      <c r="S75" s="58">
        <f t="shared" si="4"/>
        <v>0</v>
      </c>
    </row>
    <row r="76" spans="1:19" x14ac:dyDescent="0.25">
      <c r="A76" s="16" t="s">
        <v>205</v>
      </c>
      <c r="I76" s="62" t="s">
        <v>204</v>
      </c>
      <c r="J76" s="62" t="s">
        <v>185</v>
      </c>
      <c r="K76" s="61" t="s">
        <v>195</v>
      </c>
      <c r="L76" s="60">
        <v>5.4</v>
      </c>
      <c r="M76" s="60">
        <v>3</v>
      </c>
      <c r="N76" s="60">
        <v>3</v>
      </c>
      <c r="O76" s="60">
        <f>L76*$R$47*Deflator!$F$33</f>
        <v>77.209199999999996</v>
      </c>
      <c r="P76" s="60">
        <f>M76*$R$47*Deflator!$F$33</f>
        <v>42.893999999999991</v>
      </c>
      <c r="Q76" s="60">
        <f>N76*$R$47*Deflator!$F$33</f>
        <v>42.893999999999991</v>
      </c>
      <c r="R76" s="59">
        <f t="shared" si="3"/>
        <v>2.3790040066189233E-2</v>
      </c>
      <c r="S76" s="58">
        <f t="shared" si="4"/>
        <v>0</v>
      </c>
    </row>
    <row r="77" spans="1:19" x14ac:dyDescent="0.25">
      <c r="I77" s="62" t="s">
        <v>203</v>
      </c>
      <c r="J77" s="62" t="s">
        <v>188</v>
      </c>
      <c r="K77" s="61" t="s">
        <v>195</v>
      </c>
      <c r="L77" s="60">
        <v>3.6</v>
      </c>
      <c r="M77" s="60">
        <v>2.4</v>
      </c>
      <c r="N77" s="60">
        <v>2.4</v>
      </c>
      <c r="O77" s="60">
        <f>L77*$R$47*Deflator!$F$33</f>
        <v>51.472799999999999</v>
      </c>
      <c r="P77" s="60">
        <f>M77*$R$47*Deflator!$F$33</f>
        <v>34.315199999999997</v>
      </c>
      <c r="Q77" s="60">
        <f>N77*$R$47*Deflator!$F$33</f>
        <v>34.315199999999997</v>
      </c>
      <c r="R77" s="59">
        <f t="shared" si="3"/>
        <v>1.6350839811869022E-2</v>
      </c>
      <c r="S77" s="58">
        <f t="shared" si="4"/>
        <v>0</v>
      </c>
    </row>
    <row r="78" spans="1:19" x14ac:dyDescent="0.25">
      <c r="A78" s="66" t="s">
        <v>172</v>
      </c>
      <c r="B78" s="66" t="s">
        <v>202</v>
      </c>
      <c r="C78" s="66" t="s">
        <v>201</v>
      </c>
      <c r="D78" s="66" t="s">
        <v>200</v>
      </c>
      <c r="E78" s="66" t="s">
        <v>199</v>
      </c>
      <c r="F78" s="66" t="s">
        <v>198</v>
      </c>
      <c r="G78" s="66" t="s">
        <v>197</v>
      </c>
      <c r="I78" s="62" t="s">
        <v>196</v>
      </c>
      <c r="J78" s="62" t="s">
        <v>188</v>
      </c>
      <c r="K78" s="61" t="s">
        <v>195</v>
      </c>
      <c r="L78" s="60">
        <v>3.6</v>
      </c>
      <c r="M78" s="60">
        <v>2.4</v>
      </c>
      <c r="N78" s="60">
        <v>2.4</v>
      </c>
      <c r="O78" s="60">
        <f>L78*$R$47*Deflator!$F$33</f>
        <v>51.472799999999999</v>
      </c>
      <c r="P78" s="60">
        <f>M78*$R$47*Deflator!$F$33</f>
        <v>34.315199999999997</v>
      </c>
      <c r="Q78" s="60">
        <f>N78*$R$47*Deflator!$F$33</f>
        <v>34.315199999999997</v>
      </c>
      <c r="R78" s="59">
        <f t="shared" si="3"/>
        <v>1.6350839811869022E-2</v>
      </c>
      <c r="S78" s="58">
        <f t="shared" si="4"/>
        <v>0</v>
      </c>
    </row>
    <row r="79" spans="1:19" x14ac:dyDescent="0.25">
      <c r="A79" s="63" t="str">
        <f>O39</f>
        <v>75%</v>
      </c>
      <c r="B79" s="65"/>
      <c r="C79" s="65"/>
      <c r="D79" s="65"/>
      <c r="E79" s="65"/>
      <c r="F79" s="63" t="s">
        <v>190</v>
      </c>
      <c r="G79" s="65" t="s">
        <v>194</v>
      </c>
      <c r="I79" s="62" t="s">
        <v>193</v>
      </c>
      <c r="J79" s="62" t="s">
        <v>192</v>
      </c>
      <c r="K79" s="61" t="s">
        <v>191</v>
      </c>
      <c r="L79" s="61"/>
      <c r="M79" s="60">
        <v>4.0999999999999996</v>
      </c>
      <c r="N79" s="60">
        <v>4.0999999999999996</v>
      </c>
      <c r="O79" s="60"/>
      <c r="P79" s="60">
        <f>M79*$R$47*Deflator!$F$33</f>
        <v>58.621799999999986</v>
      </c>
      <c r="Q79" s="60">
        <f>N79*$R$47*Deflator!$F$33</f>
        <v>58.621799999999986</v>
      </c>
      <c r="R79" s="59"/>
      <c r="S79" s="58">
        <f>(P79/Q79)^(1/25)-1</f>
        <v>0</v>
      </c>
    </row>
    <row r="80" spans="1:19" x14ac:dyDescent="0.25">
      <c r="A80" s="63" t="str">
        <f>O40</f>
        <v>75%</v>
      </c>
      <c r="B80" s="65"/>
      <c r="C80" s="65"/>
      <c r="D80" s="65"/>
      <c r="E80" s="65"/>
      <c r="F80" s="63" t="s">
        <v>190</v>
      </c>
      <c r="G80" s="65" t="s">
        <v>189</v>
      </c>
      <c r="I80" s="62" t="s">
        <v>186</v>
      </c>
      <c r="J80" s="62" t="s">
        <v>188</v>
      </c>
      <c r="K80" s="61" t="s">
        <v>184</v>
      </c>
      <c r="L80" s="60">
        <v>1.5</v>
      </c>
      <c r="M80" s="60">
        <v>0.9</v>
      </c>
      <c r="N80" s="60">
        <v>0.9</v>
      </c>
      <c r="O80" s="60">
        <f>L80*$R$47*Deflator!$F$33</f>
        <v>21.446999999999996</v>
      </c>
      <c r="P80" s="60">
        <f>M80*$R$47*Deflator!$F$33</f>
        <v>12.8682</v>
      </c>
      <c r="Q80" s="60">
        <f>N80*$R$47*Deflator!$F$33</f>
        <v>12.8682</v>
      </c>
      <c r="R80" s="59">
        <f>(O80/P80)^(1/25)-1</f>
        <v>2.0643208324757856E-2</v>
      </c>
      <c r="S80" s="58">
        <f>(P80/Q80)^(1/25)-1</f>
        <v>0</v>
      </c>
    </row>
    <row r="81" spans="1:19" x14ac:dyDescent="0.25">
      <c r="A81" s="63"/>
      <c r="B81" s="64">
        <v>0.57999999999999996</v>
      </c>
      <c r="C81" s="64">
        <v>0.87</v>
      </c>
      <c r="D81" s="63"/>
      <c r="E81" s="63"/>
      <c r="F81" s="63" t="s">
        <v>187</v>
      </c>
      <c r="G81" s="63"/>
      <c r="I81" s="62" t="s">
        <v>186</v>
      </c>
      <c r="J81" s="62" t="s">
        <v>185</v>
      </c>
      <c r="K81" s="61" t="s">
        <v>184</v>
      </c>
      <c r="L81" s="60">
        <v>5.6</v>
      </c>
      <c r="M81" s="60">
        <v>1.4</v>
      </c>
      <c r="N81" s="60">
        <v>0.9</v>
      </c>
      <c r="O81" s="60">
        <f>L81*$R$47*Deflator!$F$33</f>
        <v>80.068799999999996</v>
      </c>
      <c r="P81" s="60">
        <f>M81*$R$47*Deflator!$F$33</f>
        <v>20.017199999999999</v>
      </c>
      <c r="Q81" s="60">
        <f>N81*$R$47*Deflator!$F$33</f>
        <v>12.8682</v>
      </c>
      <c r="R81" s="59">
        <f>(O81/P81)^(1/25)-1</f>
        <v>5.7018040561380268E-2</v>
      </c>
      <c r="S81" s="58">
        <f>(P81/Q81)^(1/25)-1</f>
        <v>1.7830407146320004E-2</v>
      </c>
    </row>
    <row r="82" spans="1:19" x14ac:dyDescent="0.25">
      <c r="L82" s="57"/>
      <c r="M82" t="s">
        <v>183</v>
      </c>
      <c r="O82" s="57"/>
      <c r="P82" t="s">
        <v>182</v>
      </c>
    </row>
    <row r="84" spans="1:19" ht="18.75" x14ac:dyDescent="0.3">
      <c r="A84" s="56" t="s">
        <v>181</v>
      </c>
      <c r="B84" s="19"/>
      <c r="C84" s="19"/>
      <c r="D84" s="19"/>
      <c r="E84" s="19"/>
      <c r="F84" s="19"/>
      <c r="G84" s="19"/>
      <c r="I84" s="55" t="s">
        <v>180</v>
      </c>
      <c r="J84" s="55"/>
      <c r="K84" s="55"/>
      <c r="L84" s="55"/>
      <c r="M84" s="55"/>
    </row>
    <row r="85" spans="1:19" x14ac:dyDescent="0.25">
      <c r="I85" s="55" t="s">
        <v>179</v>
      </c>
      <c r="J85" s="55"/>
      <c r="K85" s="55"/>
      <c r="L85" s="55"/>
      <c r="M85" s="55"/>
    </row>
    <row r="86" spans="1:19" x14ac:dyDescent="0.25">
      <c r="A86" t="s">
        <v>178</v>
      </c>
      <c r="B86" t="s">
        <v>177</v>
      </c>
      <c r="I86" s="55" t="s">
        <v>176</v>
      </c>
      <c r="J86" s="55"/>
      <c r="K86" s="55"/>
      <c r="L86" s="55"/>
      <c r="M86" s="55"/>
    </row>
    <row r="87" spans="1:19" x14ac:dyDescent="0.25">
      <c r="I87" s="53" t="s">
        <v>175</v>
      </c>
      <c r="J87" s="299" t="s">
        <v>174</v>
      </c>
      <c r="K87" s="299"/>
      <c r="L87" s="299" t="s">
        <v>173</v>
      </c>
      <c r="M87" s="299"/>
    </row>
    <row r="88" spans="1:19" x14ac:dyDescent="0.25">
      <c r="A88" t="s">
        <v>172</v>
      </c>
      <c r="B88" s="29">
        <v>0.64</v>
      </c>
      <c r="C88" t="s">
        <v>171</v>
      </c>
      <c r="E88" t="s">
        <v>165</v>
      </c>
      <c r="I88" s="53"/>
      <c r="J88" s="53" t="s">
        <v>170</v>
      </c>
      <c r="K88" s="53" t="s">
        <v>168</v>
      </c>
      <c r="L88" s="53" t="s">
        <v>169</v>
      </c>
      <c r="M88" s="53" t="s">
        <v>168</v>
      </c>
    </row>
    <row r="89" spans="1:19" x14ac:dyDescent="0.25">
      <c r="A89" t="s">
        <v>167</v>
      </c>
      <c r="B89">
        <v>21.7</v>
      </c>
      <c r="C89" t="s">
        <v>166</v>
      </c>
      <c r="E89" t="s">
        <v>165</v>
      </c>
      <c r="I89" s="53" t="s">
        <v>164</v>
      </c>
      <c r="J89" s="52" t="s">
        <v>150</v>
      </c>
      <c r="K89" s="52" t="s">
        <v>149</v>
      </c>
      <c r="L89" s="52" t="s">
        <v>150</v>
      </c>
      <c r="M89" s="52" t="s">
        <v>149</v>
      </c>
    </row>
    <row r="90" spans="1:19" ht="25.5" x14ac:dyDescent="0.25">
      <c r="B90" s="27">
        <f>B89/Y9</f>
        <v>0.15281690140845069</v>
      </c>
      <c r="C90" t="s">
        <v>163</v>
      </c>
      <c r="I90" s="53" t="s">
        <v>162</v>
      </c>
      <c r="J90" s="52" t="s">
        <v>150</v>
      </c>
      <c r="K90" s="52" t="s">
        <v>149</v>
      </c>
      <c r="L90" s="52" t="s">
        <v>149</v>
      </c>
      <c r="M90" s="52" t="s">
        <v>150</v>
      </c>
    </row>
    <row r="91" spans="1:19" x14ac:dyDescent="0.25">
      <c r="B91" s="27">
        <f>B89/Y10</f>
        <v>0.18083333333333332</v>
      </c>
      <c r="C91" t="s">
        <v>161</v>
      </c>
      <c r="I91" s="53" t="s">
        <v>160</v>
      </c>
      <c r="J91" s="52" t="s">
        <v>150</v>
      </c>
      <c r="K91" s="52" t="s">
        <v>149</v>
      </c>
      <c r="L91" s="52" t="s">
        <v>150</v>
      </c>
      <c r="M91" s="52" t="s">
        <v>149</v>
      </c>
    </row>
    <row r="92" spans="1:19" x14ac:dyDescent="0.25">
      <c r="B92" s="54">
        <f>B90*1000</f>
        <v>152.81690140845069</v>
      </c>
      <c r="C92" t="s">
        <v>159</v>
      </c>
      <c r="I92" s="53" t="s">
        <v>158</v>
      </c>
      <c r="J92" s="52" t="s">
        <v>157</v>
      </c>
      <c r="K92" s="52" t="s">
        <v>156</v>
      </c>
      <c r="L92" s="52" t="s">
        <v>150</v>
      </c>
      <c r="M92" s="52" t="s">
        <v>149</v>
      </c>
    </row>
    <row r="93" spans="1:19" x14ac:dyDescent="0.25">
      <c r="B93" s="54">
        <f>B91*1000</f>
        <v>180.83333333333331</v>
      </c>
      <c r="C93" t="s">
        <v>155</v>
      </c>
      <c r="I93" s="53" t="s">
        <v>154</v>
      </c>
      <c r="J93" s="52" t="s">
        <v>150</v>
      </c>
      <c r="K93" s="52" t="s">
        <v>149</v>
      </c>
      <c r="L93" s="52" t="s">
        <v>153</v>
      </c>
      <c r="M93" s="52" t="s">
        <v>152</v>
      </c>
    </row>
    <row r="94" spans="1:19" x14ac:dyDescent="0.25">
      <c r="I94" s="53" t="s">
        <v>151</v>
      </c>
      <c r="J94" s="52" t="s">
        <v>149</v>
      </c>
      <c r="K94" s="52" t="s">
        <v>150</v>
      </c>
      <c r="L94" s="52" t="s">
        <v>150</v>
      </c>
      <c r="M94" s="52" t="s">
        <v>149</v>
      </c>
    </row>
    <row r="97" spans="9:17" ht="15.75" x14ac:dyDescent="0.25">
      <c r="I97" s="51" t="s">
        <v>148</v>
      </c>
      <c r="J97" s="35"/>
      <c r="K97" s="35"/>
      <c r="L97" s="35"/>
      <c r="M97" s="35"/>
      <c r="N97" s="35"/>
      <c r="O97" s="35"/>
      <c r="P97" s="35"/>
      <c r="Q97" s="35"/>
    </row>
    <row r="98" spans="9:17" x14ac:dyDescent="0.25">
      <c r="I98" s="35"/>
      <c r="J98" s="35"/>
      <c r="K98" s="35"/>
      <c r="L98" s="35"/>
      <c r="M98" s="35"/>
      <c r="N98" s="35"/>
      <c r="O98" s="35"/>
      <c r="P98" s="35"/>
      <c r="Q98" s="35"/>
    </row>
    <row r="99" spans="9:17" x14ac:dyDescent="0.25">
      <c r="I99" s="35" t="s">
        <v>147</v>
      </c>
      <c r="J99" s="35"/>
      <c r="K99" s="35"/>
      <c r="L99" s="35"/>
      <c r="M99" s="35"/>
      <c r="N99" s="35"/>
      <c r="O99" s="35"/>
      <c r="P99" s="35"/>
      <c r="Q99" s="35"/>
    </row>
    <row r="100" spans="9:17" x14ac:dyDescent="0.25">
      <c r="I100" s="35" t="s">
        <v>146</v>
      </c>
      <c r="J100" s="35"/>
      <c r="K100" s="35"/>
      <c r="L100" s="35"/>
      <c r="M100" s="35"/>
      <c r="N100" s="35"/>
      <c r="O100" s="35"/>
      <c r="P100" s="35"/>
      <c r="Q100" s="35"/>
    </row>
    <row r="101" spans="9:17" x14ac:dyDescent="0.25">
      <c r="I101" s="35" t="s">
        <v>145</v>
      </c>
      <c r="J101" s="35"/>
      <c r="K101" s="35"/>
      <c r="L101" s="35"/>
      <c r="M101" s="35"/>
      <c r="N101" s="35"/>
      <c r="O101" s="35"/>
      <c r="P101" s="35"/>
      <c r="Q101" s="35"/>
    </row>
    <row r="102" spans="9:17" x14ac:dyDescent="0.25">
      <c r="I102" s="18" t="s">
        <v>129</v>
      </c>
      <c r="J102" s="48" t="s">
        <v>140</v>
      </c>
      <c r="K102" s="48" t="s">
        <v>139</v>
      </c>
      <c r="L102" s="41" t="s">
        <v>127</v>
      </c>
      <c r="M102" s="40"/>
      <c r="N102" s="39"/>
      <c r="O102" s="41" t="s">
        <v>126</v>
      </c>
      <c r="P102" s="40"/>
      <c r="Q102" s="39"/>
    </row>
    <row r="103" spans="9:17" x14ac:dyDescent="0.25">
      <c r="I103" s="18"/>
      <c r="J103" s="48"/>
      <c r="K103" s="41"/>
      <c r="L103" s="38">
        <v>2000</v>
      </c>
      <c r="M103" s="38">
        <v>2025</v>
      </c>
      <c r="N103" s="38">
        <v>2050</v>
      </c>
      <c r="O103" s="38">
        <v>2000</v>
      </c>
      <c r="P103" s="38">
        <v>2025</v>
      </c>
      <c r="Q103" s="38">
        <v>2050</v>
      </c>
    </row>
    <row r="104" spans="9:17" x14ac:dyDescent="0.25">
      <c r="I104" s="18" t="s">
        <v>138</v>
      </c>
      <c r="J104" s="48" t="s">
        <v>135</v>
      </c>
      <c r="K104" s="46">
        <v>2000</v>
      </c>
      <c r="L104" s="32">
        <v>15</v>
      </c>
      <c r="M104" s="32">
        <v>6</v>
      </c>
      <c r="N104" s="32">
        <v>6</v>
      </c>
      <c r="O104" s="36">
        <v>0.82</v>
      </c>
      <c r="P104" s="36">
        <v>0.85</v>
      </c>
      <c r="Q104" s="36">
        <v>0.85</v>
      </c>
    </row>
    <row r="105" spans="9:17" x14ac:dyDescent="0.25">
      <c r="I105" s="18" t="s">
        <v>138</v>
      </c>
      <c r="J105" s="48" t="s">
        <v>137</v>
      </c>
      <c r="K105" s="46">
        <v>2020</v>
      </c>
      <c r="L105" s="32">
        <v>15</v>
      </c>
      <c r="M105" s="32">
        <v>10</v>
      </c>
      <c r="N105" s="32">
        <v>10</v>
      </c>
      <c r="O105" s="36">
        <v>0.75</v>
      </c>
      <c r="P105" s="36">
        <v>0.8</v>
      </c>
      <c r="Q105" s="36">
        <v>0.8</v>
      </c>
    </row>
    <row r="106" spans="9:17" x14ac:dyDescent="0.25">
      <c r="I106" s="18" t="s">
        <v>136</v>
      </c>
      <c r="J106" s="48" t="s">
        <v>135</v>
      </c>
      <c r="K106" s="46">
        <v>2020</v>
      </c>
      <c r="L106" s="32">
        <v>8</v>
      </c>
      <c r="M106" s="32">
        <v>4</v>
      </c>
      <c r="N106" s="32">
        <v>3</v>
      </c>
      <c r="O106" s="36">
        <v>0.95</v>
      </c>
      <c r="P106" s="36">
        <v>0.95</v>
      </c>
      <c r="Q106" s="36">
        <v>0.95</v>
      </c>
    </row>
    <row r="107" spans="9:17" x14ac:dyDescent="0.25">
      <c r="I107" s="18" t="s">
        <v>134</v>
      </c>
      <c r="J107" s="48" t="s">
        <v>133</v>
      </c>
      <c r="K107" s="46">
        <v>2020</v>
      </c>
      <c r="L107" s="32">
        <v>4</v>
      </c>
      <c r="M107" s="32">
        <v>4</v>
      </c>
      <c r="N107" s="32">
        <v>4</v>
      </c>
      <c r="O107" s="36">
        <v>0.98</v>
      </c>
      <c r="P107" s="36">
        <v>0.98</v>
      </c>
      <c r="Q107" s="36">
        <v>0.98</v>
      </c>
    </row>
    <row r="108" spans="9:17" x14ac:dyDescent="0.25">
      <c r="I108" s="50">
        <v>22</v>
      </c>
      <c r="J108" s="35"/>
      <c r="K108" s="35"/>
      <c r="L108" s="35"/>
      <c r="M108" s="35"/>
      <c r="N108" s="35"/>
      <c r="O108" s="35"/>
      <c r="P108" s="35"/>
      <c r="Q108" s="35"/>
    </row>
    <row r="109" spans="9:17" x14ac:dyDescent="0.25">
      <c r="I109" s="35" t="s">
        <v>144</v>
      </c>
      <c r="J109" s="35"/>
      <c r="K109" s="35"/>
      <c r="L109" s="35"/>
      <c r="M109" s="35"/>
      <c r="N109" s="35"/>
      <c r="O109" s="35"/>
      <c r="P109" s="35"/>
      <c r="Q109" s="35"/>
    </row>
    <row r="110" spans="9:17" x14ac:dyDescent="0.25">
      <c r="I110" s="35" t="s">
        <v>143</v>
      </c>
      <c r="J110" s="35"/>
      <c r="K110" s="35"/>
      <c r="L110" s="35"/>
      <c r="M110" s="35"/>
      <c r="N110" s="35"/>
      <c r="O110" s="35"/>
      <c r="P110" s="35"/>
      <c r="Q110" s="35"/>
    </row>
    <row r="111" spans="9:17" x14ac:dyDescent="0.25">
      <c r="I111" s="35" t="s">
        <v>142</v>
      </c>
      <c r="J111" s="35"/>
      <c r="K111" s="35"/>
      <c r="L111" s="35"/>
      <c r="M111" s="35"/>
      <c r="N111" s="35"/>
      <c r="O111" s="35"/>
      <c r="P111" s="35"/>
      <c r="Q111" s="35"/>
    </row>
    <row r="112" spans="9:17" x14ac:dyDescent="0.25">
      <c r="I112" s="35" t="s">
        <v>141</v>
      </c>
      <c r="J112" s="35"/>
      <c r="K112" s="35"/>
      <c r="L112" s="35"/>
      <c r="M112" s="35"/>
      <c r="N112" s="35"/>
      <c r="O112" s="35"/>
      <c r="P112" s="35"/>
      <c r="Q112" s="35"/>
    </row>
    <row r="113" spans="9:17" x14ac:dyDescent="0.25">
      <c r="I113" s="18" t="s">
        <v>129</v>
      </c>
      <c r="J113" s="48" t="s">
        <v>140</v>
      </c>
      <c r="K113" s="48" t="s">
        <v>139</v>
      </c>
      <c r="L113" s="41" t="s">
        <v>127</v>
      </c>
      <c r="M113" s="40"/>
      <c r="N113" s="39"/>
      <c r="O113" s="41" t="s">
        <v>126</v>
      </c>
      <c r="P113" s="40"/>
      <c r="Q113" s="39"/>
    </row>
    <row r="114" spans="9:17" x14ac:dyDescent="0.25">
      <c r="I114" s="18"/>
      <c r="J114" s="48"/>
      <c r="K114" s="48"/>
      <c r="L114" s="49">
        <v>2000</v>
      </c>
      <c r="M114" s="49">
        <v>2025</v>
      </c>
      <c r="N114" s="49">
        <v>2050</v>
      </c>
      <c r="O114" s="38">
        <v>2000</v>
      </c>
      <c r="P114" s="38">
        <v>2025</v>
      </c>
      <c r="Q114" s="38">
        <v>2050</v>
      </c>
    </row>
    <row r="115" spans="9:17" x14ac:dyDescent="0.25">
      <c r="I115" s="18" t="s">
        <v>138</v>
      </c>
      <c r="J115" s="48" t="s">
        <v>135</v>
      </c>
      <c r="K115" s="47">
        <v>2000</v>
      </c>
      <c r="L115" s="46">
        <v>31</v>
      </c>
      <c r="M115" s="46">
        <v>12</v>
      </c>
      <c r="N115" s="46">
        <v>12</v>
      </c>
      <c r="O115" s="36">
        <v>0.82</v>
      </c>
      <c r="P115" s="36">
        <v>0.85</v>
      </c>
      <c r="Q115" s="36">
        <v>0.85</v>
      </c>
    </row>
    <row r="116" spans="9:17" x14ac:dyDescent="0.25">
      <c r="I116" s="18" t="s">
        <v>138</v>
      </c>
      <c r="J116" s="48" t="s">
        <v>137</v>
      </c>
      <c r="K116" s="47">
        <v>2020</v>
      </c>
      <c r="L116" s="46">
        <v>31</v>
      </c>
      <c r="M116" s="46">
        <v>21</v>
      </c>
      <c r="N116" s="46">
        <v>21</v>
      </c>
      <c r="O116" s="36">
        <v>0.75</v>
      </c>
      <c r="P116" s="36">
        <v>0.8</v>
      </c>
      <c r="Q116" s="36">
        <v>0.8</v>
      </c>
    </row>
    <row r="117" spans="9:17" x14ac:dyDescent="0.25">
      <c r="I117" s="18" t="s">
        <v>136</v>
      </c>
      <c r="J117" s="48" t="s">
        <v>135</v>
      </c>
      <c r="K117" s="47">
        <v>2020</v>
      </c>
      <c r="L117" s="46">
        <v>16</v>
      </c>
      <c r="M117" s="46">
        <v>8</v>
      </c>
      <c r="N117" s="46">
        <v>6</v>
      </c>
      <c r="O117" s="36">
        <v>0.95</v>
      </c>
      <c r="P117" s="36">
        <v>0.95</v>
      </c>
      <c r="Q117" s="36">
        <v>0.95</v>
      </c>
    </row>
    <row r="118" spans="9:17" x14ac:dyDescent="0.25">
      <c r="I118" s="18" t="s">
        <v>134</v>
      </c>
      <c r="J118" s="48" t="s">
        <v>133</v>
      </c>
      <c r="K118" s="47">
        <v>2020</v>
      </c>
      <c r="L118" s="46">
        <v>8</v>
      </c>
      <c r="M118" s="46">
        <v>8</v>
      </c>
      <c r="N118" s="46">
        <v>8</v>
      </c>
      <c r="O118" s="36">
        <v>0.98</v>
      </c>
      <c r="P118" s="36">
        <v>0.98</v>
      </c>
      <c r="Q118" s="36">
        <v>0.98</v>
      </c>
    </row>
    <row r="119" spans="9:17" x14ac:dyDescent="0.25">
      <c r="I119" s="45"/>
      <c r="J119" s="45"/>
      <c r="K119" s="45"/>
      <c r="L119" s="44"/>
      <c r="M119" s="44"/>
      <c r="N119" s="44"/>
      <c r="O119" s="44"/>
      <c r="P119" s="43"/>
      <c r="Q119" s="43"/>
    </row>
    <row r="120" spans="9:17" x14ac:dyDescent="0.25">
      <c r="I120" s="42" t="s">
        <v>132</v>
      </c>
      <c r="J120" s="35"/>
      <c r="K120" s="35"/>
      <c r="L120" s="35"/>
      <c r="M120" s="35"/>
      <c r="N120" s="35"/>
      <c r="O120" s="35"/>
      <c r="P120" s="35"/>
      <c r="Q120" s="35"/>
    </row>
    <row r="121" spans="9:17" x14ac:dyDescent="0.25">
      <c r="I121" s="35" t="s">
        <v>131</v>
      </c>
      <c r="J121" s="35"/>
      <c r="K121" s="35"/>
      <c r="L121" s="35"/>
      <c r="M121" s="35"/>
      <c r="N121" s="35"/>
      <c r="O121" s="35"/>
      <c r="P121" s="35"/>
      <c r="Q121" s="35"/>
    </row>
    <row r="122" spans="9:17" x14ac:dyDescent="0.25">
      <c r="I122" s="35" t="s">
        <v>130</v>
      </c>
      <c r="J122" s="35"/>
      <c r="K122" s="35"/>
      <c r="L122" s="35"/>
      <c r="M122" s="35"/>
      <c r="N122" s="35"/>
      <c r="O122" s="35"/>
      <c r="P122" s="35"/>
      <c r="Q122" s="35"/>
    </row>
    <row r="123" spans="9:17" x14ac:dyDescent="0.25">
      <c r="I123" s="37" t="s">
        <v>129</v>
      </c>
      <c r="J123" s="34" t="s">
        <v>128</v>
      </c>
      <c r="K123" s="293" t="s">
        <v>127</v>
      </c>
      <c r="L123" s="294"/>
      <c r="M123" s="295"/>
      <c r="N123" s="293" t="s">
        <v>126</v>
      </c>
      <c r="O123" s="294"/>
      <c r="P123" s="295"/>
      <c r="Q123" s="35"/>
    </row>
    <row r="124" spans="9:17" x14ac:dyDescent="0.25">
      <c r="I124" s="37"/>
      <c r="J124" s="34" t="s">
        <v>125</v>
      </c>
      <c r="K124" s="38">
        <v>2000</v>
      </c>
      <c r="L124" s="38">
        <v>2025</v>
      </c>
      <c r="M124" s="38">
        <v>2050</v>
      </c>
      <c r="N124" s="38">
        <v>2000</v>
      </c>
      <c r="O124" s="38">
        <v>2025</v>
      </c>
      <c r="P124" s="38">
        <v>2050</v>
      </c>
      <c r="Q124" s="35"/>
    </row>
    <row r="125" spans="9:17" ht="30" x14ac:dyDescent="0.25">
      <c r="I125" s="37" t="s">
        <v>124</v>
      </c>
      <c r="J125" s="32">
        <v>2000</v>
      </c>
      <c r="K125" s="32">
        <v>16</v>
      </c>
      <c r="L125" s="32">
        <v>10</v>
      </c>
      <c r="M125" s="32">
        <v>6</v>
      </c>
      <c r="N125" s="36">
        <v>0.95</v>
      </c>
      <c r="O125" s="36">
        <v>0.95</v>
      </c>
      <c r="P125" s="36">
        <v>0.95</v>
      </c>
      <c r="Q125" s="35"/>
    </row>
    <row r="126" spans="9:17" ht="30" x14ac:dyDescent="0.25">
      <c r="I126" s="37" t="s">
        <v>123</v>
      </c>
      <c r="J126" s="32">
        <v>2000</v>
      </c>
      <c r="K126" s="32">
        <v>33</v>
      </c>
      <c r="L126" s="32">
        <v>20</v>
      </c>
      <c r="M126" s="32">
        <v>12</v>
      </c>
      <c r="N126" s="36">
        <v>0.95</v>
      </c>
      <c r="O126" s="36">
        <v>0.95</v>
      </c>
      <c r="P126" s="36">
        <v>0.95</v>
      </c>
      <c r="Q126" s="35"/>
    </row>
    <row r="128" spans="9:17" x14ac:dyDescent="0.25">
      <c r="I128" s="296" t="s">
        <v>122</v>
      </c>
      <c r="J128" s="296"/>
      <c r="K128" s="296"/>
      <c r="L128" s="296"/>
      <c r="M128" s="296"/>
      <c r="N128" s="296"/>
      <c r="O128" s="296"/>
      <c r="P128" s="296"/>
      <c r="Q128" s="296"/>
    </row>
    <row r="129" spans="9:17" x14ac:dyDescent="0.25">
      <c r="I129" s="296"/>
      <c r="J129" s="296"/>
      <c r="K129" s="296"/>
      <c r="L129" s="296"/>
      <c r="M129" s="296"/>
      <c r="N129" s="296"/>
      <c r="O129" s="296"/>
      <c r="P129" s="296"/>
      <c r="Q129" s="296"/>
    </row>
    <row r="130" spans="9:17" x14ac:dyDescent="0.25">
      <c r="I130" s="296"/>
      <c r="J130" s="296"/>
      <c r="K130" s="296"/>
      <c r="L130" s="296"/>
      <c r="M130" s="296"/>
      <c r="N130" s="296"/>
      <c r="O130" s="296"/>
      <c r="P130" s="296"/>
      <c r="Q130" s="296"/>
    </row>
    <row r="131" spans="9:17" x14ac:dyDescent="0.25">
      <c r="I131" s="296"/>
      <c r="J131" s="296"/>
      <c r="K131" s="296"/>
      <c r="L131" s="296"/>
      <c r="M131" s="296"/>
      <c r="N131" s="296"/>
      <c r="O131" s="296"/>
      <c r="P131" s="296"/>
      <c r="Q131" s="296"/>
    </row>
    <row r="132" spans="9:17" x14ac:dyDescent="0.25">
      <c r="I132" s="296"/>
      <c r="J132" s="296"/>
      <c r="K132" s="296"/>
      <c r="L132" s="296"/>
      <c r="M132" s="296"/>
      <c r="N132" s="296"/>
      <c r="O132" s="296"/>
      <c r="P132" s="296"/>
      <c r="Q132" s="296"/>
    </row>
    <row r="134" spans="9:17" x14ac:dyDescent="0.25">
      <c r="I134" s="35" t="s">
        <v>121</v>
      </c>
      <c r="J134" s="35"/>
      <c r="K134" s="35"/>
      <c r="L134" s="35"/>
      <c r="M134" s="35"/>
      <c r="N134" s="35"/>
    </row>
    <row r="135" spans="9:17" ht="30" x14ac:dyDescent="0.25">
      <c r="I135" s="18" t="s">
        <v>119</v>
      </c>
      <c r="J135" s="18" t="s">
        <v>118</v>
      </c>
      <c r="K135" s="18" t="s">
        <v>117</v>
      </c>
      <c r="L135" s="34" t="s">
        <v>116</v>
      </c>
      <c r="M135" s="34" t="s">
        <v>115</v>
      </c>
      <c r="N135" s="18" t="s">
        <v>114</v>
      </c>
    </row>
    <row r="136" spans="9:17" x14ac:dyDescent="0.25">
      <c r="I136" s="33">
        <v>2000</v>
      </c>
      <c r="J136" s="32">
        <v>10</v>
      </c>
      <c r="K136" s="32">
        <v>15</v>
      </c>
      <c r="L136" s="32">
        <v>12</v>
      </c>
      <c r="M136" s="32">
        <v>19</v>
      </c>
      <c r="N136" s="32">
        <v>29</v>
      </c>
    </row>
    <row r="137" spans="9:17" x14ac:dyDescent="0.25">
      <c r="I137" s="33">
        <v>2010</v>
      </c>
      <c r="J137" s="32">
        <v>9</v>
      </c>
      <c r="K137" s="32">
        <v>14</v>
      </c>
      <c r="L137" s="32">
        <v>11</v>
      </c>
      <c r="M137" s="32">
        <v>16</v>
      </c>
      <c r="N137" s="32">
        <v>25</v>
      </c>
    </row>
    <row r="138" spans="9:17" x14ac:dyDescent="0.25">
      <c r="I138" s="33">
        <v>2020</v>
      </c>
      <c r="J138" s="32">
        <v>8</v>
      </c>
      <c r="K138" s="32">
        <v>12</v>
      </c>
      <c r="L138" s="32">
        <v>10</v>
      </c>
      <c r="M138" s="32">
        <v>14</v>
      </c>
      <c r="N138" s="32">
        <v>21</v>
      </c>
    </row>
    <row r="139" spans="9:17" x14ac:dyDescent="0.25">
      <c r="I139" s="33">
        <v>2030</v>
      </c>
      <c r="J139" s="32">
        <v>7</v>
      </c>
      <c r="K139" s="32">
        <v>11</v>
      </c>
      <c r="L139" s="32">
        <v>9</v>
      </c>
      <c r="M139" s="32">
        <v>12</v>
      </c>
      <c r="N139" s="32">
        <v>18</v>
      </c>
    </row>
    <row r="140" spans="9:17" x14ac:dyDescent="0.25">
      <c r="I140" s="33">
        <v>2040</v>
      </c>
      <c r="J140" s="32">
        <v>7</v>
      </c>
      <c r="K140" s="32">
        <v>10</v>
      </c>
      <c r="L140" s="32">
        <v>8</v>
      </c>
      <c r="M140" s="32">
        <v>11</v>
      </c>
      <c r="N140" s="32">
        <v>15</v>
      </c>
    </row>
    <row r="141" spans="9:17" x14ac:dyDescent="0.25">
      <c r="I141" s="33">
        <v>2050</v>
      </c>
      <c r="J141" s="32">
        <v>6</v>
      </c>
      <c r="K141" s="32">
        <v>9</v>
      </c>
      <c r="L141" s="32">
        <v>7</v>
      </c>
      <c r="M141" s="32">
        <v>10</v>
      </c>
      <c r="N141" s="32">
        <v>13</v>
      </c>
    </row>
    <row r="142" spans="9:17" x14ac:dyDescent="0.25">
      <c r="I142" s="35" t="s">
        <v>120</v>
      </c>
      <c r="J142" s="35"/>
      <c r="K142" s="35"/>
      <c r="L142" s="35"/>
      <c r="M142" s="35"/>
      <c r="N142" s="35"/>
    </row>
    <row r="143" spans="9:17" ht="30" x14ac:dyDescent="0.25">
      <c r="I143" s="18" t="s">
        <v>119</v>
      </c>
      <c r="J143" s="18" t="s">
        <v>118</v>
      </c>
      <c r="K143" s="18" t="s">
        <v>117</v>
      </c>
      <c r="L143" s="34" t="s">
        <v>116</v>
      </c>
      <c r="M143" s="34" t="s">
        <v>115</v>
      </c>
      <c r="N143" s="18" t="s">
        <v>114</v>
      </c>
    </row>
    <row r="144" spans="9:17" x14ac:dyDescent="0.25">
      <c r="I144" s="33">
        <v>2000</v>
      </c>
      <c r="J144" s="32">
        <v>20</v>
      </c>
      <c r="K144" s="32">
        <v>31</v>
      </c>
      <c r="L144" s="32">
        <v>25</v>
      </c>
      <c r="M144" s="32">
        <v>39</v>
      </c>
      <c r="N144" s="32">
        <v>59</v>
      </c>
    </row>
    <row r="145" spans="9:14" x14ac:dyDescent="0.25">
      <c r="I145" s="33">
        <v>2010</v>
      </c>
      <c r="J145" s="32">
        <v>18</v>
      </c>
      <c r="K145" s="32">
        <v>28</v>
      </c>
      <c r="L145" s="32">
        <v>23</v>
      </c>
      <c r="M145" s="32">
        <v>34</v>
      </c>
      <c r="N145" s="32">
        <v>50</v>
      </c>
    </row>
    <row r="146" spans="9:14" x14ac:dyDescent="0.25">
      <c r="I146" s="33">
        <v>2020</v>
      </c>
      <c r="J146" s="32">
        <v>16</v>
      </c>
      <c r="K146" s="32">
        <v>25</v>
      </c>
      <c r="L146" s="32">
        <v>20</v>
      </c>
      <c r="M146" s="32">
        <v>29</v>
      </c>
      <c r="N146" s="32">
        <v>43</v>
      </c>
    </row>
    <row r="147" spans="9:14" x14ac:dyDescent="0.25">
      <c r="I147" s="33">
        <v>2030</v>
      </c>
      <c r="J147" s="32">
        <v>15</v>
      </c>
      <c r="K147" s="32">
        <v>23</v>
      </c>
      <c r="L147" s="32">
        <v>18</v>
      </c>
      <c r="M147" s="32">
        <v>26</v>
      </c>
      <c r="N147" s="32">
        <v>37</v>
      </c>
    </row>
    <row r="148" spans="9:14" x14ac:dyDescent="0.25">
      <c r="I148" s="33">
        <v>2040</v>
      </c>
      <c r="J148" s="32">
        <v>13</v>
      </c>
      <c r="K148" s="32">
        <v>20</v>
      </c>
      <c r="L148" s="32">
        <v>16</v>
      </c>
      <c r="M148" s="32">
        <v>22</v>
      </c>
      <c r="N148" s="32">
        <v>31</v>
      </c>
    </row>
    <row r="149" spans="9:14" x14ac:dyDescent="0.25">
      <c r="I149" s="33">
        <v>2050</v>
      </c>
      <c r="J149" s="32">
        <v>12</v>
      </c>
      <c r="K149" s="32">
        <v>18</v>
      </c>
      <c r="L149" s="32">
        <v>15</v>
      </c>
      <c r="M149" s="32">
        <v>20</v>
      </c>
      <c r="N149" s="32">
        <v>27</v>
      </c>
    </row>
  </sheetData>
  <mergeCells count="29">
    <mergeCell ref="O6:Q6"/>
    <mergeCell ref="L6:N6"/>
    <mergeCell ref="I46:I47"/>
    <mergeCell ref="J46:J47"/>
    <mergeCell ref="K46:K47"/>
    <mergeCell ref="O26:Q26"/>
    <mergeCell ref="I7:K7"/>
    <mergeCell ref="L26:N26"/>
    <mergeCell ref="A9:G9"/>
    <mergeCell ref="L46:N46"/>
    <mergeCell ref="A49:G49"/>
    <mergeCell ref="I27:K27"/>
    <mergeCell ref="D31:F31"/>
    <mergeCell ref="D32:F32"/>
    <mergeCell ref="D33:F33"/>
    <mergeCell ref="D34:F34"/>
    <mergeCell ref="U26:V26"/>
    <mergeCell ref="R67:S67"/>
    <mergeCell ref="I67:I68"/>
    <mergeCell ref="J67:J68"/>
    <mergeCell ref="K67:K68"/>
    <mergeCell ref="L67:N67"/>
    <mergeCell ref="K123:M123"/>
    <mergeCell ref="N123:P123"/>
    <mergeCell ref="I128:Q132"/>
    <mergeCell ref="R26:T26"/>
    <mergeCell ref="O67:Q67"/>
    <mergeCell ref="J87:K87"/>
    <mergeCell ref="L87:M87"/>
  </mergeCells>
  <hyperlinks>
    <hyperlink ref="A3" location="Hydrogen!A8" display="General Notes" xr:uid="{A141E675-9962-4785-8A8D-B1A687A4B1B7}"/>
    <hyperlink ref="A5" location="Hydrogen!A17" display="Hydrogen!A17" xr:uid="{7B4EA3DC-4104-4144-BFDB-1F40E3B4994F}"/>
    <hyperlink ref="A6" location="Hydrogen!A58" display="Hydrogen!A58" xr:uid="{CFD7BF23-710F-4011-9889-1C4E9F71A123}"/>
    <hyperlink ref="A4" location="Hydrogen!I1" display="Hydrogen!I1" xr:uid="{C623D6B6-60BD-4F53-B488-0A80288718BC}"/>
    <hyperlink ref="I2" r:id="rId1" xr:uid="{8B039D51-C2E4-4959-8659-64B21FC9D0F1}"/>
    <hyperlink ref="M2" r:id="rId2" xr:uid="{C1F68481-0A47-43A9-AE7C-D9A181581372}"/>
    <hyperlink ref="Z14" r:id="rId3" xr:uid="{DB6F6AD2-E075-45B0-A98B-0690BD260D99}"/>
    <hyperlink ref="Z15" r:id="rId4" xr:uid="{7737A280-92E2-41B4-9863-512C1D111381}"/>
  </hyperlinks>
  <pageMargins left="0.7" right="0.7" top="0.75" bottom="0.75" header="0.3" footer="0.3"/>
  <pageSetup paperSize="9" orientation="portrait" r:id="rId5"/>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B7AAA-C1D0-400B-A651-3FAAF8F86FAB}">
  <sheetPr codeName="Sheet4">
    <tabColor theme="7"/>
  </sheetPr>
  <dimension ref="A1:Z36"/>
  <sheetViews>
    <sheetView topLeftCell="A19" zoomScaleNormal="100" workbookViewId="0">
      <selection activeCell="G55" sqref="G55"/>
    </sheetView>
  </sheetViews>
  <sheetFormatPr defaultColWidth="8.85546875" defaultRowHeight="15" x14ac:dyDescent="0.25"/>
  <cols>
    <col min="1" max="1" width="23.7109375" style="1" customWidth="1"/>
    <col min="2" max="2" width="29.28515625" style="1" customWidth="1"/>
    <col min="3" max="5" width="12.85546875" style="1" customWidth="1"/>
    <col min="6" max="8" width="8.85546875" style="1"/>
    <col min="9" max="15" width="16.7109375" style="1" customWidth="1"/>
    <col min="16" max="16" width="8.85546875" style="1"/>
    <col min="17" max="17" width="11.7109375" style="1" customWidth="1"/>
    <col min="18" max="18" width="11.7109375" style="1" bestFit="1" customWidth="1"/>
    <col min="19" max="19" width="21" style="1" bestFit="1" customWidth="1"/>
    <col min="20" max="16384" width="8.85546875" style="1"/>
  </cols>
  <sheetData>
    <row r="1" spans="1:24" ht="23.25" x14ac:dyDescent="0.25">
      <c r="A1" s="8" t="s">
        <v>65</v>
      </c>
      <c r="B1" s="7"/>
    </row>
    <row r="2" spans="1:24" x14ac:dyDescent="0.25">
      <c r="A2" s="4" t="s">
        <v>34</v>
      </c>
    </row>
    <row r="3" spans="1:24" x14ac:dyDescent="0.25">
      <c r="E3" s="6"/>
      <c r="Q3" s="6" t="s">
        <v>32</v>
      </c>
      <c r="R3" s="5"/>
      <c r="S3" s="5"/>
      <c r="T3" s="5"/>
      <c r="U3" s="5"/>
      <c r="V3" s="5"/>
      <c r="W3" s="5"/>
    </row>
    <row r="4" spans="1:24" x14ac:dyDescent="0.25">
      <c r="A4" s="13" t="s">
        <v>18</v>
      </c>
      <c r="B4" s="13" t="s">
        <v>31</v>
      </c>
      <c r="C4" s="13" t="s">
        <v>30</v>
      </c>
      <c r="D4" s="13" t="s">
        <v>29</v>
      </c>
      <c r="E4" s="13" t="s">
        <v>64</v>
      </c>
      <c r="F4" s="13" t="s">
        <v>27</v>
      </c>
      <c r="G4" s="13" t="s">
        <v>26</v>
      </c>
      <c r="H4" s="13" t="s">
        <v>28</v>
      </c>
      <c r="I4" s="13" t="s">
        <v>25</v>
      </c>
      <c r="J4" s="13" t="s">
        <v>63</v>
      </c>
      <c r="K4" s="13" t="s">
        <v>62</v>
      </c>
      <c r="L4" s="13" t="s">
        <v>23</v>
      </c>
      <c r="M4" s="13" t="s">
        <v>22</v>
      </c>
      <c r="N4" s="13" t="s">
        <v>43</v>
      </c>
      <c r="O4" s="13" t="s">
        <v>42</v>
      </c>
      <c r="Q4" s="3" t="s">
        <v>19</v>
      </c>
      <c r="R4" s="3" t="s">
        <v>18</v>
      </c>
      <c r="S4" s="3" t="s">
        <v>17</v>
      </c>
      <c r="T4" s="3" t="s">
        <v>16</v>
      </c>
      <c r="U4" s="3" t="s">
        <v>15</v>
      </c>
      <c r="V4" s="3" t="s">
        <v>14</v>
      </c>
      <c r="W4" s="3" t="s">
        <v>13</v>
      </c>
      <c r="X4" s="3" t="s">
        <v>12</v>
      </c>
    </row>
    <row r="5" spans="1:24" ht="77.25" thickBot="1" x14ac:dyDescent="0.3">
      <c r="A5" s="12" t="s">
        <v>11</v>
      </c>
      <c r="B5" s="12" t="s">
        <v>10</v>
      </c>
      <c r="C5" s="12" t="s">
        <v>9</v>
      </c>
      <c r="D5" s="12" t="s">
        <v>8</v>
      </c>
      <c r="E5" s="12" t="s">
        <v>61</v>
      </c>
      <c r="F5" s="12"/>
      <c r="G5" s="12" t="s">
        <v>60</v>
      </c>
      <c r="H5" s="12" t="s">
        <v>40</v>
      </c>
      <c r="I5" s="12" t="s">
        <v>39</v>
      </c>
      <c r="J5" s="12" t="s">
        <v>59</v>
      </c>
      <c r="K5" s="12" t="s">
        <v>58</v>
      </c>
      <c r="L5" s="12" t="s">
        <v>57</v>
      </c>
      <c r="M5" s="12" t="s">
        <v>56</v>
      </c>
      <c r="N5" s="12" t="s">
        <v>55</v>
      </c>
      <c r="O5" s="12" t="s">
        <v>54</v>
      </c>
      <c r="Q5" s="11" t="s">
        <v>6</v>
      </c>
      <c r="R5" s="11"/>
      <c r="S5" s="11"/>
      <c r="T5" s="11"/>
      <c r="U5" s="11"/>
      <c r="V5" s="11"/>
      <c r="W5" s="11"/>
      <c r="X5" s="11"/>
    </row>
    <row r="6" spans="1:24" x14ac:dyDescent="0.25">
      <c r="A6" s="10" t="s">
        <v>38</v>
      </c>
      <c r="B6" s="10"/>
      <c r="C6" s="10"/>
      <c r="D6" s="10"/>
      <c r="E6" s="10"/>
      <c r="F6" s="10" t="s">
        <v>7</v>
      </c>
      <c r="G6" s="10" t="s">
        <v>7</v>
      </c>
      <c r="H6" s="10"/>
      <c r="I6" s="10" t="s">
        <v>37</v>
      </c>
      <c r="J6" s="10"/>
      <c r="K6" s="10"/>
      <c r="L6" s="10" t="s">
        <v>53</v>
      </c>
      <c r="M6" s="10" t="s">
        <v>53</v>
      </c>
      <c r="N6" s="10" t="s">
        <v>53</v>
      </c>
      <c r="O6" s="10" t="s">
        <v>53</v>
      </c>
      <c r="Q6" s="10" t="s">
        <v>6</v>
      </c>
      <c r="R6" s="10"/>
      <c r="S6" s="10"/>
      <c r="T6" s="10"/>
      <c r="U6" s="10"/>
      <c r="V6" s="10"/>
      <c r="W6" s="10"/>
      <c r="X6" s="10"/>
    </row>
    <row r="7" spans="1:24" x14ac:dyDescent="0.25">
      <c r="A7" s="9" t="s">
        <v>52</v>
      </c>
      <c r="B7" s="9"/>
      <c r="C7" s="9"/>
      <c r="D7" s="9"/>
      <c r="E7" s="9"/>
      <c r="F7" s="9"/>
      <c r="G7" s="9"/>
      <c r="H7" s="9"/>
      <c r="I7" s="9"/>
      <c r="J7" s="9"/>
      <c r="K7" s="9"/>
      <c r="L7" s="9"/>
      <c r="M7" s="9"/>
      <c r="N7" s="9"/>
      <c r="O7" s="9"/>
      <c r="Q7" s="9" t="str">
        <f>A7</f>
        <v>* Hydrogen liquefaction to HDL</v>
      </c>
      <c r="R7" s="9"/>
      <c r="S7" s="9"/>
      <c r="T7" s="9"/>
      <c r="U7" s="9"/>
      <c r="V7" s="9"/>
      <c r="W7" s="9"/>
      <c r="X7" s="9"/>
    </row>
    <row r="8" spans="1:24" x14ac:dyDescent="0.25">
      <c r="A8" s="1" t="s">
        <v>51</v>
      </c>
      <c r="B8" s="1" t="s">
        <v>50</v>
      </c>
      <c r="C8" s="1" t="s">
        <v>36</v>
      </c>
      <c r="F8" s="1">
        <v>2019</v>
      </c>
      <c r="G8" s="1">
        <v>20</v>
      </c>
      <c r="H8" s="1">
        <v>1</v>
      </c>
      <c r="I8" s="1">
        <v>0.96</v>
      </c>
      <c r="J8" s="1">
        <v>1</v>
      </c>
      <c r="K8" s="1">
        <v>1</v>
      </c>
      <c r="L8" s="14">
        <v>18.309289932000002</v>
      </c>
      <c r="M8" s="14">
        <v>7.3237159728000005</v>
      </c>
      <c r="N8" s="14">
        <v>1.2816502952400002</v>
      </c>
      <c r="O8" s="14">
        <v>0.51266011809600009</v>
      </c>
      <c r="Q8" s="1" t="s">
        <v>4</v>
      </c>
      <c r="R8" s="1" t="str">
        <f>A8</f>
        <v>SH2GH2L_01</v>
      </c>
      <c r="S8" s="1" t="str">
        <f>B8</f>
        <v>Hydrogen liquefaction</v>
      </c>
      <c r="T8" s="1" t="s">
        <v>3</v>
      </c>
      <c r="U8" s="1" t="s">
        <v>2</v>
      </c>
      <c r="V8" s="1" t="s">
        <v>1</v>
      </c>
      <c r="X8" s="1" t="s">
        <v>0</v>
      </c>
    </row>
    <row r="9" spans="1:24" x14ac:dyDescent="0.25">
      <c r="B9" s="1" t="s">
        <v>48</v>
      </c>
      <c r="D9" s="1" t="s">
        <v>49</v>
      </c>
    </row>
    <row r="10" spans="1:24" x14ac:dyDescent="0.25">
      <c r="B10" s="1" t="s">
        <v>48</v>
      </c>
      <c r="E10" s="1" t="s">
        <v>47</v>
      </c>
      <c r="J10" s="14">
        <v>0.2195</v>
      </c>
      <c r="K10" s="14">
        <v>0.17647058823529393</v>
      </c>
    </row>
    <row r="15" spans="1:24" ht="23.25" x14ac:dyDescent="0.25">
      <c r="A15" s="8" t="s">
        <v>81</v>
      </c>
      <c r="B15" s="7"/>
    </row>
    <row r="16" spans="1:24" x14ac:dyDescent="0.25">
      <c r="A16" s="4" t="s">
        <v>34</v>
      </c>
    </row>
    <row r="17" spans="1:26" x14ac:dyDescent="0.25">
      <c r="D17" s="6"/>
      <c r="S17" s="6" t="s">
        <v>32</v>
      </c>
      <c r="T17" s="5"/>
      <c r="U17" s="5"/>
      <c r="V17" s="5"/>
      <c r="W17" s="5"/>
      <c r="X17" s="5"/>
      <c r="Y17" s="5"/>
    </row>
    <row r="18" spans="1:26" ht="25.5" x14ac:dyDescent="0.25">
      <c r="A18" s="13" t="s">
        <v>18</v>
      </c>
      <c r="B18" s="13" t="s">
        <v>31</v>
      </c>
      <c r="C18" s="13" t="s">
        <v>30</v>
      </c>
      <c r="D18" s="13" t="s">
        <v>29</v>
      </c>
      <c r="E18" s="13" t="s">
        <v>27</v>
      </c>
      <c r="F18" s="13" t="s">
        <v>26</v>
      </c>
      <c r="G18" s="13" t="s">
        <v>28</v>
      </c>
      <c r="H18" s="13" t="s">
        <v>25</v>
      </c>
      <c r="I18" s="13" t="s">
        <v>63</v>
      </c>
      <c r="J18" s="13" t="s">
        <v>62</v>
      </c>
      <c r="K18" s="13" t="s">
        <v>23</v>
      </c>
      <c r="L18" s="13" t="s">
        <v>22</v>
      </c>
      <c r="M18" s="13" t="s">
        <v>43</v>
      </c>
      <c r="N18" s="13" t="s">
        <v>42</v>
      </c>
      <c r="O18" s="13" t="s">
        <v>80</v>
      </c>
      <c r="P18" s="13" t="s">
        <v>79</v>
      </c>
      <c r="Q18" s="13" t="s">
        <v>78</v>
      </c>
      <c r="S18" s="3" t="s">
        <v>19</v>
      </c>
      <c r="T18" s="3" t="s">
        <v>18</v>
      </c>
      <c r="U18" s="3" t="s">
        <v>17</v>
      </c>
      <c r="V18" s="3" t="s">
        <v>16</v>
      </c>
      <c r="W18" s="3" t="s">
        <v>15</v>
      </c>
      <c r="X18" s="3" t="s">
        <v>14</v>
      </c>
      <c r="Y18" s="3" t="s">
        <v>13</v>
      </c>
      <c r="Z18" s="3" t="s">
        <v>12</v>
      </c>
    </row>
    <row r="19" spans="1:26" ht="153.75" thickBot="1" x14ac:dyDescent="0.3">
      <c r="A19" s="12" t="s">
        <v>11</v>
      </c>
      <c r="B19" s="12" t="s">
        <v>10</v>
      </c>
      <c r="C19" s="12" t="s">
        <v>9</v>
      </c>
      <c r="D19" s="12" t="s">
        <v>8</v>
      </c>
      <c r="E19" s="12" t="s">
        <v>60</v>
      </c>
      <c r="F19" s="12" t="s">
        <v>60</v>
      </c>
      <c r="G19" s="12" t="s">
        <v>40</v>
      </c>
      <c r="H19" s="12" t="s">
        <v>39</v>
      </c>
      <c r="I19" s="12" t="s">
        <v>59</v>
      </c>
      <c r="J19" s="12" t="s">
        <v>58</v>
      </c>
      <c r="K19" s="12" t="s">
        <v>57</v>
      </c>
      <c r="L19" s="12" t="s">
        <v>56</v>
      </c>
      <c r="M19" s="12" t="s">
        <v>55</v>
      </c>
      <c r="N19" s="12" t="s">
        <v>54</v>
      </c>
      <c r="O19" s="12" t="s">
        <v>77</v>
      </c>
      <c r="P19" s="12" t="s">
        <v>76</v>
      </c>
      <c r="Q19" s="12" t="s">
        <v>75</v>
      </c>
      <c r="S19" s="11" t="s">
        <v>6</v>
      </c>
      <c r="T19" s="11"/>
      <c r="U19" s="11"/>
      <c r="V19" s="11"/>
      <c r="W19" s="11"/>
      <c r="X19" s="11"/>
      <c r="Y19" s="11"/>
      <c r="Z19" s="11"/>
    </row>
    <row r="20" spans="1:26" ht="25.5" x14ac:dyDescent="0.25">
      <c r="A20" s="10" t="s">
        <v>38</v>
      </c>
      <c r="B20" s="10"/>
      <c r="C20" s="10"/>
      <c r="D20" s="10"/>
      <c r="E20" s="10" t="s">
        <v>7</v>
      </c>
      <c r="F20" s="10" t="s">
        <v>7</v>
      </c>
      <c r="G20" s="10"/>
      <c r="H20" s="10"/>
      <c r="I20" s="10"/>
      <c r="J20" s="10"/>
      <c r="K20" s="10" t="s">
        <v>53</v>
      </c>
      <c r="L20" s="10" t="s">
        <v>53</v>
      </c>
      <c r="M20" s="10" t="s">
        <v>53</v>
      </c>
      <c r="N20" s="10" t="s">
        <v>53</v>
      </c>
      <c r="O20" s="10" t="s">
        <v>53</v>
      </c>
      <c r="P20" s="10" t="s">
        <v>53</v>
      </c>
      <c r="Q20" s="10" t="s">
        <v>74</v>
      </c>
      <c r="S20" s="10" t="s">
        <v>6</v>
      </c>
      <c r="T20" s="10"/>
      <c r="U20" s="10"/>
      <c r="V20" s="10"/>
      <c r="W20" s="10"/>
      <c r="X20" s="10"/>
      <c r="Y20" s="10"/>
      <c r="Z20" s="10"/>
    </row>
    <row r="21" spans="1:26" x14ac:dyDescent="0.25">
      <c r="A21" s="9" t="s">
        <v>73</v>
      </c>
      <c r="B21" s="9"/>
      <c r="C21" s="9"/>
      <c r="D21" s="9"/>
      <c r="E21" s="9"/>
      <c r="F21" s="9"/>
      <c r="G21" s="9"/>
      <c r="H21" s="9"/>
      <c r="I21" s="9"/>
      <c r="J21" s="9"/>
      <c r="K21" s="9"/>
      <c r="L21" s="9"/>
      <c r="M21" s="9"/>
      <c r="N21" s="9"/>
      <c r="O21" s="9"/>
      <c r="P21" s="9"/>
      <c r="Q21" s="9"/>
      <c r="S21" s="9" t="str">
        <f>A21</f>
        <v>* Pipeline and road tanker distribution</v>
      </c>
      <c r="T21" s="9"/>
      <c r="U21" s="9"/>
      <c r="V21" s="9"/>
      <c r="W21" s="9"/>
      <c r="X21" s="9"/>
      <c r="Y21" s="9"/>
      <c r="Z21" s="9"/>
    </row>
    <row r="22" spans="1:26" x14ac:dyDescent="0.25">
      <c r="A22" s="1" t="s">
        <v>72</v>
      </c>
      <c r="B22" s="1" t="s">
        <v>71</v>
      </c>
      <c r="C22" s="1" t="s">
        <v>36</v>
      </c>
      <c r="D22" s="1" t="s">
        <v>5</v>
      </c>
      <c r="E22" s="1">
        <v>2019</v>
      </c>
      <c r="F22" s="1">
        <v>80</v>
      </c>
      <c r="G22" s="1">
        <v>1</v>
      </c>
      <c r="H22" s="1">
        <v>1</v>
      </c>
      <c r="I22" s="1">
        <v>1</v>
      </c>
      <c r="J22" s="1">
        <v>1</v>
      </c>
      <c r="K22" s="2">
        <v>7.6759636785390413</v>
      </c>
      <c r="L22" s="2">
        <v>7.6759636785390413</v>
      </c>
      <c r="M22" s="2">
        <v>0.15351927357078055</v>
      </c>
      <c r="N22" s="2">
        <v>0.15351927357078055</v>
      </c>
      <c r="O22" s="2"/>
      <c r="P22" s="2"/>
      <c r="Q22" s="1">
        <v>30</v>
      </c>
      <c r="S22" s="1" t="s">
        <v>4</v>
      </c>
      <c r="T22" s="1" t="str">
        <f t="shared" ref="T22:U24" si="0">A22</f>
        <v>SH2GDEL_01</v>
      </c>
      <c r="U22" s="1" t="str">
        <f t="shared" si="0"/>
        <v>Hydrogen Delivery - PIPELINE DISTRIBUTION HIGH-PRESSURE</v>
      </c>
      <c r="V22" s="1" t="s">
        <v>3</v>
      </c>
      <c r="W22" s="1" t="s">
        <v>2</v>
      </c>
      <c r="X22" s="1" t="s">
        <v>1</v>
      </c>
    </row>
    <row r="23" spans="1:26" x14ac:dyDescent="0.25">
      <c r="A23" s="1" t="s">
        <v>70</v>
      </c>
      <c r="B23" s="1" t="s">
        <v>69</v>
      </c>
      <c r="C23" s="1" t="s">
        <v>49</v>
      </c>
      <c r="D23" s="1" t="s">
        <v>68</v>
      </c>
      <c r="E23" s="1">
        <v>2019</v>
      </c>
      <c r="F23" s="1">
        <v>15</v>
      </c>
      <c r="G23" s="1">
        <v>1</v>
      </c>
      <c r="H23" s="1">
        <v>1</v>
      </c>
      <c r="I23" s="1">
        <v>1</v>
      </c>
      <c r="J23" s="1">
        <v>1</v>
      </c>
      <c r="K23" s="2">
        <v>4.9113986500408195</v>
      </c>
      <c r="L23" s="2">
        <v>4.9113986500408195</v>
      </c>
      <c r="M23" s="2">
        <v>1.2278496625102049</v>
      </c>
      <c r="N23" s="2">
        <v>1.2278496625102049</v>
      </c>
      <c r="O23" s="2">
        <v>0.55714989777013546</v>
      </c>
      <c r="P23" s="2">
        <v>0.55714989777013546</v>
      </c>
      <c r="T23" s="1" t="str">
        <f t="shared" si="0"/>
        <v>SH2LDEL_01</v>
      </c>
      <c r="U23" s="1" t="str">
        <f t="shared" si="0"/>
        <v>Hydrogen Delivery - ROAD-TANKER DISTRIBUTION</v>
      </c>
      <c r="V23" s="1" t="s">
        <v>3</v>
      </c>
      <c r="W23" s="1" t="s">
        <v>2</v>
      </c>
      <c r="X23" s="1" t="s">
        <v>1</v>
      </c>
    </row>
    <row r="24" spans="1:26" x14ac:dyDescent="0.25">
      <c r="A24" s="1" t="s">
        <v>67</v>
      </c>
      <c r="B24" s="1" t="s">
        <v>66</v>
      </c>
      <c r="C24" s="1" t="s">
        <v>36</v>
      </c>
      <c r="D24" s="1" t="s">
        <v>5</v>
      </c>
      <c r="E24" s="1">
        <v>2019</v>
      </c>
      <c r="F24" s="1">
        <v>80</v>
      </c>
      <c r="G24" s="1">
        <v>1</v>
      </c>
      <c r="H24" s="1">
        <v>1</v>
      </c>
      <c r="I24" s="1">
        <v>1</v>
      </c>
      <c r="J24" s="1">
        <v>1</v>
      </c>
      <c r="K24" s="2">
        <v>2.506548</v>
      </c>
      <c r="L24" s="2">
        <v>2.506548</v>
      </c>
      <c r="M24" s="2">
        <v>5.0131000000000002E-2</v>
      </c>
      <c r="N24" s="2">
        <v>5.0131000000000002E-2</v>
      </c>
      <c r="O24" s="2"/>
      <c r="P24" s="2"/>
      <c r="Q24" s="1">
        <v>30</v>
      </c>
      <c r="T24" s="1" t="str">
        <f t="shared" si="0"/>
        <v>SH2GDEL_02</v>
      </c>
      <c r="U24" s="1" t="str">
        <f t="shared" si="0"/>
        <v>Hydrogen Delivery - PIPELINE TRANSMISSION HIGH-PRESSURE</v>
      </c>
      <c r="V24" s="1" t="s">
        <v>3</v>
      </c>
      <c r="W24" s="1" t="s">
        <v>2</v>
      </c>
      <c r="X24" s="1" t="s">
        <v>1</v>
      </c>
    </row>
    <row r="29" spans="1:26" ht="23.25" x14ac:dyDescent="0.25">
      <c r="A29" s="8" t="s">
        <v>94</v>
      </c>
      <c r="B29" s="7"/>
      <c r="L29"/>
      <c r="V29"/>
    </row>
    <row r="30" spans="1:26" x14ac:dyDescent="0.25">
      <c r="A30" s="4" t="s">
        <v>34</v>
      </c>
      <c r="L30"/>
      <c r="V30"/>
    </row>
    <row r="31" spans="1:26" x14ac:dyDescent="0.25">
      <c r="D31" s="6"/>
      <c r="L31"/>
      <c r="M31" s="6"/>
      <c r="N31" s="5"/>
      <c r="O31" s="5"/>
      <c r="P31" s="5"/>
      <c r="Q31" s="5"/>
      <c r="R31" s="5"/>
      <c r="S31" s="5"/>
      <c r="V31"/>
    </row>
    <row r="32" spans="1:26" x14ac:dyDescent="0.25">
      <c r="A32" s="13" t="s">
        <v>18</v>
      </c>
      <c r="B32" s="13" t="s">
        <v>31</v>
      </c>
      <c r="C32" s="13" t="s">
        <v>30</v>
      </c>
      <c r="D32" s="13" t="s">
        <v>29</v>
      </c>
      <c r="E32" s="13" t="s">
        <v>27</v>
      </c>
      <c r="F32" s="13" t="s">
        <v>26</v>
      </c>
      <c r="G32" s="13" t="s">
        <v>28</v>
      </c>
      <c r="H32" s="13" t="s">
        <v>93</v>
      </c>
      <c r="I32" s="13" t="s">
        <v>23</v>
      </c>
      <c r="J32" s="13" t="s">
        <v>43</v>
      </c>
      <c r="K32" s="13" t="s">
        <v>25</v>
      </c>
      <c r="L32"/>
      <c r="M32" s="15" t="s">
        <v>19</v>
      </c>
      <c r="N32" s="15" t="s">
        <v>18</v>
      </c>
      <c r="O32" s="15" t="s">
        <v>17</v>
      </c>
      <c r="P32" s="15" t="s">
        <v>16</v>
      </c>
      <c r="Q32" s="15" t="s">
        <v>15</v>
      </c>
      <c r="R32" s="15" t="s">
        <v>14</v>
      </c>
      <c r="S32" s="15" t="s">
        <v>13</v>
      </c>
      <c r="T32" s="15" t="s">
        <v>12</v>
      </c>
      <c r="V32"/>
    </row>
    <row r="33" spans="1:22" ht="47.25" customHeight="1" thickBot="1" x14ac:dyDescent="0.3">
      <c r="A33" s="12" t="s">
        <v>11</v>
      </c>
      <c r="B33" s="12" t="s">
        <v>10</v>
      </c>
      <c r="C33" s="12" t="s">
        <v>9</v>
      </c>
      <c r="D33" s="12" t="s">
        <v>8</v>
      </c>
      <c r="E33" s="12"/>
      <c r="F33" s="12" t="s">
        <v>60</v>
      </c>
      <c r="G33" s="12" t="s">
        <v>40</v>
      </c>
      <c r="H33" s="12" t="s">
        <v>92</v>
      </c>
      <c r="I33" s="12" t="s">
        <v>91</v>
      </c>
      <c r="J33" s="12" t="s">
        <v>90</v>
      </c>
      <c r="K33" s="12" t="s">
        <v>89</v>
      </c>
      <c r="L33"/>
      <c r="M33" s="11" t="s">
        <v>6</v>
      </c>
      <c r="N33" s="11"/>
      <c r="O33" s="11"/>
      <c r="P33" s="11"/>
      <c r="Q33" s="11"/>
      <c r="R33" s="11"/>
      <c r="S33" s="11"/>
      <c r="T33" s="11"/>
      <c r="V33"/>
    </row>
    <row r="34" spans="1:22" ht="24.75" customHeight="1" x14ac:dyDescent="0.25">
      <c r="A34" s="10" t="s">
        <v>38</v>
      </c>
      <c r="B34" s="10"/>
      <c r="C34" s="10"/>
      <c r="D34" s="10"/>
      <c r="E34" s="10"/>
      <c r="F34" s="10" t="s">
        <v>7</v>
      </c>
      <c r="G34" s="10"/>
      <c r="H34" s="10"/>
      <c r="I34" s="10" t="s">
        <v>53</v>
      </c>
      <c r="J34" s="10" t="s">
        <v>53</v>
      </c>
      <c r="K34" s="10" t="s">
        <v>88</v>
      </c>
      <c r="L34"/>
      <c r="M34" s="10" t="s">
        <v>6</v>
      </c>
      <c r="N34" s="10"/>
      <c r="O34" s="10"/>
      <c r="P34" s="10"/>
      <c r="Q34" s="10"/>
      <c r="R34" s="10"/>
      <c r="S34" s="10"/>
      <c r="T34" s="10"/>
      <c r="V34"/>
    </row>
    <row r="35" spans="1:22" x14ac:dyDescent="0.25">
      <c r="A35" s="1" t="s">
        <v>87</v>
      </c>
      <c r="B35" s="1" t="s">
        <v>86</v>
      </c>
      <c r="C35" s="1" t="s">
        <v>36</v>
      </c>
      <c r="D35" s="1" t="s">
        <v>36</v>
      </c>
      <c r="E35" s="1">
        <v>2019</v>
      </c>
      <c r="F35" s="1">
        <v>40</v>
      </c>
      <c r="G35" s="1">
        <v>1</v>
      </c>
      <c r="H35" s="1">
        <v>1</v>
      </c>
      <c r="I35" s="14">
        <v>3.53</v>
      </c>
      <c r="J35" s="14">
        <v>0.32078581007977441</v>
      </c>
      <c r="K35" s="1">
        <v>1</v>
      </c>
      <c r="L35"/>
      <c r="M35" s="1" t="s">
        <v>83</v>
      </c>
      <c r="N35" s="1" t="str">
        <f>A35</f>
        <v>SH2GSTG_01</v>
      </c>
      <c r="O35" s="1" t="str">
        <f>B35</f>
        <v>Hydrogen Storage - LARGE</v>
      </c>
      <c r="P35" s="1" t="s">
        <v>3</v>
      </c>
      <c r="Q35" s="1" t="s">
        <v>2</v>
      </c>
      <c r="R35" s="1" t="s">
        <v>1</v>
      </c>
      <c r="T35" s="1" t="s">
        <v>82</v>
      </c>
      <c r="V35"/>
    </row>
    <row r="36" spans="1:22" x14ac:dyDescent="0.25">
      <c r="A36" s="1" t="s">
        <v>85</v>
      </c>
      <c r="B36" s="1" t="s">
        <v>84</v>
      </c>
      <c r="C36" s="1" t="s">
        <v>5</v>
      </c>
      <c r="D36" s="1" t="s">
        <v>5</v>
      </c>
      <c r="E36" s="1">
        <v>2019</v>
      </c>
      <c r="F36" s="1">
        <v>40</v>
      </c>
      <c r="G36" s="1">
        <v>1</v>
      </c>
      <c r="H36" s="1">
        <v>1</v>
      </c>
      <c r="I36" s="14">
        <v>23.67</v>
      </c>
      <c r="J36" s="14">
        <v>0.93888529779446184</v>
      </c>
      <c r="K36" s="1">
        <v>1</v>
      </c>
      <c r="L36"/>
      <c r="M36" s="1" t="s">
        <v>83</v>
      </c>
      <c r="N36" s="1" t="str">
        <f>A36</f>
        <v>SH2GSTG_02</v>
      </c>
      <c r="O36" s="1" t="str">
        <f>B36</f>
        <v>Hydrogen Storage - SMALL</v>
      </c>
      <c r="P36" s="1" t="s">
        <v>3</v>
      </c>
      <c r="Q36" s="1" t="s">
        <v>2</v>
      </c>
      <c r="R36" s="1" t="s">
        <v>1</v>
      </c>
      <c r="T36" s="1" t="s">
        <v>82</v>
      </c>
      <c r="V36"/>
    </row>
  </sheetData>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5FDB4-D01B-48D7-8203-524325B8768A}">
  <sheetPr>
    <tabColor theme="7"/>
  </sheetPr>
  <dimension ref="A1:AB148"/>
  <sheetViews>
    <sheetView topLeftCell="A54" workbookViewId="0">
      <selection activeCell="E20" sqref="E20"/>
    </sheetView>
  </sheetViews>
  <sheetFormatPr defaultRowHeight="15" x14ac:dyDescent="0.25"/>
  <cols>
    <col min="1" max="1" width="12.7109375" customWidth="1"/>
    <col min="2" max="2" width="28.5703125" customWidth="1"/>
    <col min="3" max="3" width="15" customWidth="1"/>
    <col min="4" max="4" width="15.85546875" customWidth="1"/>
    <col min="5" max="5" width="10.7109375" bestFit="1" customWidth="1"/>
    <col min="6" max="6" width="12.140625" customWidth="1"/>
    <col min="7" max="7" width="16.28515625" bestFit="1" customWidth="1"/>
    <col min="8" max="8" width="11.140625" customWidth="1"/>
    <col min="9" max="10" width="10.7109375" bestFit="1" customWidth="1"/>
    <col min="23" max="23" width="35.85546875" customWidth="1"/>
    <col min="24" max="24" width="14.7109375" customWidth="1"/>
    <col min="25" max="25" width="17.42578125" customWidth="1"/>
    <col min="26" max="26" width="23.28515625" customWidth="1"/>
  </cols>
  <sheetData>
    <row r="1" spans="1:10" ht="21" x14ac:dyDescent="0.35">
      <c r="A1" s="172" t="s">
        <v>508</v>
      </c>
    </row>
    <row r="2" spans="1:10" ht="21" x14ac:dyDescent="0.35">
      <c r="A2" t="s">
        <v>112</v>
      </c>
      <c r="B2" t="s">
        <v>111</v>
      </c>
      <c r="C2" s="172" t="s">
        <v>520</v>
      </c>
      <c r="F2" s="128">
        <v>2020</v>
      </c>
      <c r="G2" s="128">
        <v>2030</v>
      </c>
      <c r="H2" s="128">
        <v>2035</v>
      </c>
      <c r="I2" s="128">
        <v>2040</v>
      </c>
      <c r="J2" s="128">
        <v>2050</v>
      </c>
    </row>
    <row r="3" spans="1:10" x14ac:dyDescent="0.25">
      <c r="A3" t="s">
        <v>545</v>
      </c>
      <c r="B3" s="178" t="s">
        <v>23</v>
      </c>
      <c r="C3" t="s">
        <v>528</v>
      </c>
      <c r="F3" s="149">
        <f>D29</f>
        <v>46896.125174280474</v>
      </c>
      <c r="G3" s="146">
        <f>AVERAGE(H3,F3)*1.1</f>
        <v>43674.479600333063</v>
      </c>
      <c r="H3" s="146">
        <f>E29</f>
        <v>32512.019553597809</v>
      </c>
      <c r="I3" s="149">
        <f>F29</f>
        <v>28141.935483870966</v>
      </c>
      <c r="J3" s="146">
        <f>F29</f>
        <v>28141.935483870966</v>
      </c>
    </row>
    <row r="4" spans="1:10" x14ac:dyDescent="0.25">
      <c r="A4" t="s">
        <v>545</v>
      </c>
      <c r="B4" s="178" t="s">
        <v>43</v>
      </c>
      <c r="C4" t="s">
        <v>549</v>
      </c>
      <c r="D4" s="29">
        <v>0.03</v>
      </c>
      <c r="E4" t="s">
        <v>546</v>
      </c>
      <c r="F4" s="146">
        <f>$D$4*F3</f>
        <v>1406.8837552284142</v>
      </c>
      <c r="G4" s="146">
        <f>$D$4*G3</f>
        <v>1310.2343880099918</v>
      </c>
      <c r="H4" s="146">
        <f>$D$4*H3</f>
        <v>975.36058660793424</v>
      </c>
      <c r="I4" s="146">
        <f>$D$4*I3</f>
        <v>844.25806451612891</v>
      </c>
      <c r="J4" s="146">
        <f>$D$4*J3</f>
        <v>844.25806451612891</v>
      </c>
    </row>
    <row r="5" spans="1:10" x14ac:dyDescent="0.25">
      <c r="A5" t="s">
        <v>545</v>
      </c>
      <c r="B5" s="178" t="s">
        <v>106</v>
      </c>
      <c r="C5" t="s">
        <v>548</v>
      </c>
      <c r="E5" t="s">
        <v>546</v>
      </c>
      <c r="F5" s="149">
        <v>10</v>
      </c>
      <c r="G5" s="149">
        <v>10</v>
      </c>
      <c r="H5" s="149">
        <v>10</v>
      </c>
      <c r="I5" s="149">
        <v>15</v>
      </c>
      <c r="J5" s="149">
        <v>15</v>
      </c>
    </row>
    <row r="6" spans="1:10" x14ac:dyDescent="0.25">
      <c r="A6" t="s">
        <v>545</v>
      </c>
      <c r="B6" s="178" t="s">
        <v>45</v>
      </c>
      <c r="C6" t="s">
        <v>37</v>
      </c>
      <c r="E6" t="s">
        <v>546</v>
      </c>
      <c r="F6" s="146">
        <v>0.9</v>
      </c>
      <c r="G6" s="146">
        <v>0.9</v>
      </c>
      <c r="H6" s="146">
        <v>0.9</v>
      </c>
      <c r="I6" s="146">
        <v>0.9</v>
      </c>
      <c r="J6" s="146">
        <v>0.9</v>
      </c>
    </row>
    <row r="7" spans="1:10" x14ac:dyDescent="0.25">
      <c r="A7" t="s">
        <v>545</v>
      </c>
      <c r="B7" s="178" t="s">
        <v>547</v>
      </c>
      <c r="C7" t="s">
        <v>37</v>
      </c>
      <c r="D7" t="s">
        <v>509</v>
      </c>
      <c r="E7" t="s">
        <v>546</v>
      </c>
      <c r="F7" s="146">
        <v>0.98</v>
      </c>
      <c r="G7" s="146">
        <v>0.98</v>
      </c>
      <c r="H7" s="146">
        <v>0.98</v>
      </c>
      <c r="I7" s="146">
        <v>0.98</v>
      </c>
      <c r="J7" s="146">
        <v>0.98</v>
      </c>
    </row>
    <row r="8" spans="1:10" x14ac:dyDescent="0.25">
      <c r="A8" t="s">
        <v>545</v>
      </c>
      <c r="B8" s="178"/>
      <c r="F8" s="146"/>
      <c r="G8" s="146"/>
      <c r="H8" s="146"/>
      <c r="I8" s="146"/>
      <c r="J8" s="146"/>
    </row>
    <row r="9" spans="1:10" x14ac:dyDescent="0.25">
      <c r="A9" t="s">
        <v>545</v>
      </c>
      <c r="B9" s="142" t="s">
        <v>27</v>
      </c>
      <c r="F9" s="177">
        <v>2025</v>
      </c>
    </row>
    <row r="10" spans="1:10" ht="21" x14ac:dyDescent="0.35">
      <c r="A10" s="172" t="s">
        <v>544</v>
      </c>
      <c r="C10" s="172"/>
      <c r="F10" s="128"/>
      <c r="G10" s="128"/>
      <c r="H10" s="128"/>
      <c r="I10" s="128"/>
      <c r="J10" s="128"/>
    </row>
    <row r="11" spans="1:10" x14ac:dyDescent="0.25">
      <c r="A11" t="s">
        <v>540</v>
      </c>
      <c r="B11" t="s">
        <v>543</v>
      </c>
      <c r="C11" t="s">
        <v>538</v>
      </c>
      <c r="D11" t="str">
        <f>E44</f>
        <v>turbine</v>
      </c>
      <c r="E11" t="s">
        <v>542</v>
      </c>
      <c r="F11" s="29">
        <f>C43</f>
        <v>0.52</v>
      </c>
      <c r="G11" s="29">
        <f>F11</f>
        <v>0.52</v>
      </c>
      <c r="H11" s="29">
        <f>G11</f>
        <v>0.52</v>
      </c>
      <c r="I11" s="29">
        <f>H11</f>
        <v>0.52</v>
      </c>
      <c r="J11" s="29">
        <f>I11</f>
        <v>0.52</v>
      </c>
    </row>
    <row r="12" spans="1:10" x14ac:dyDescent="0.25">
      <c r="A12" t="s">
        <v>540</v>
      </c>
      <c r="B12" t="s">
        <v>543</v>
      </c>
      <c r="C12" t="s">
        <v>538</v>
      </c>
      <c r="D12" t="str">
        <f>E45</f>
        <v>pipeline</v>
      </c>
      <c r="E12" t="s">
        <v>542</v>
      </c>
      <c r="F12" s="29">
        <f t="shared" ref="F12:J13" si="0">F11</f>
        <v>0.52</v>
      </c>
      <c r="G12" s="29">
        <f t="shared" si="0"/>
        <v>0.52</v>
      </c>
      <c r="H12" s="29">
        <f t="shared" si="0"/>
        <v>0.52</v>
      </c>
      <c r="I12" s="29">
        <f t="shared" si="0"/>
        <v>0.52</v>
      </c>
      <c r="J12" s="29">
        <f t="shared" si="0"/>
        <v>0.52</v>
      </c>
    </row>
    <row r="13" spans="1:10" x14ac:dyDescent="0.25">
      <c r="A13" t="s">
        <v>540</v>
      </c>
      <c r="B13" t="s">
        <v>543</v>
      </c>
      <c r="C13" t="s">
        <v>538</v>
      </c>
      <c r="D13" t="str">
        <f>E46</f>
        <v>vehicle</v>
      </c>
      <c r="E13" t="s">
        <v>542</v>
      </c>
      <c r="F13" s="29">
        <f t="shared" si="0"/>
        <v>0.52</v>
      </c>
      <c r="G13" s="29">
        <f t="shared" si="0"/>
        <v>0.52</v>
      </c>
      <c r="H13" s="29">
        <f t="shared" si="0"/>
        <v>0.52</v>
      </c>
      <c r="I13" s="29">
        <f t="shared" si="0"/>
        <v>0.52</v>
      </c>
      <c r="J13" s="29">
        <f t="shared" si="0"/>
        <v>0.52</v>
      </c>
    </row>
    <row r="14" spans="1:10" x14ac:dyDescent="0.25">
      <c r="A14" t="s">
        <v>541</v>
      </c>
      <c r="B14" t="s">
        <v>110</v>
      </c>
      <c r="C14" t="s">
        <v>538</v>
      </c>
      <c r="D14" t="str">
        <f>D11</f>
        <v>turbine</v>
      </c>
      <c r="E14" t="str">
        <f>$D$42&amp;"-&gt;"&amp;D44</f>
        <v>30-&gt;200</v>
      </c>
      <c r="F14" s="28">
        <f>(($C44-$C$42)*3.6)/H2.LHV.MJ_kg</f>
        <v>3.0332436967337745E-2</v>
      </c>
      <c r="G14" s="28">
        <f t="shared" ref="G14:J16" si="1">F14</f>
        <v>3.0332436967337745E-2</v>
      </c>
      <c r="H14" s="28">
        <f t="shared" si="1"/>
        <v>3.0332436967337745E-2</v>
      </c>
      <c r="I14" s="28">
        <f t="shared" si="1"/>
        <v>3.0332436967337745E-2</v>
      </c>
      <c r="J14" s="28">
        <f t="shared" si="1"/>
        <v>3.0332436967337745E-2</v>
      </c>
    </row>
    <row r="15" spans="1:10" x14ac:dyDescent="0.25">
      <c r="A15" t="s">
        <v>540</v>
      </c>
      <c r="B15" t="s">
        <v>110</v>
      </c>
      <c r="C15" t="s">
        <v>538</v>
      </c>
      <c r="D15" t="str">
        <f>D12</f>
        <v>pipeline</v>
      </c>
      <c r="E15" t="str">
        <f>$D$42&amp;"-&gt;"&amp;D45</f>
        <v>30-&gt;75</v>
      </c>
      <c r="F15" s="28">
        <f>(($C45-$C$42)*3.6)/H2.LHV.MJ_kg</f>
        <v>1.4650275728343275E-2</v>
      </c>
      <c r="G15" s="28">
        <f t="shared" si="1"/>
        <v>1.4650275728343275E-2</v>
      </c>
      <c r="H15" s="28">
        <f t="shared" si="1"/>
        <v>1.4650275728343275E-2</v>
      </c>
      <c r="I15" s="28">
        <f t="shared" si="1"/>
        <v>1.4650275728343275E-2</v>
      </c>
      <c r="J15" s="28">
        <f t="shared" si="1"/>
        <v>1.4650275728343275E-2</v>
      </c>
    </row>
    <row r="16" spans="1:10" x14ac:dyDescent="0.25">
      <c r="A16" t="s">
        <v>539</v>
      </c>
      <c r="B16" t="s">
        <v>110</v>
      </c>
      <c r="C16" t="s">
        <v>538</v>
      </c>
      <c r="D16" t="str">
        <f>D13</f>
        <v>vehicle</v>
      </c>
      <c r="E16" t="str">
        <f>$D$42&amp;"-&gt;"&amp;D46</f>
        <v>30-&gt;700</v>
      </c>
      <c r="F16" s="28">
        <f>(($C46-$C$42)*3.6)/H2.LHV.MJ_kg</f>
        <v>5.0362458304752777E-2</v>
      </c>
      <c r="G16" s="28">
        <f t="shared" si="1"/>
        <v>5.0362458304752777E-2</v>
      </c>
      <c r="H16" s="28">
        <f t="shared" si="1"/>
        <v>5.0362458304752777E-2</v>
      </c>
      <c r="I16" s="28">
        <f t="shared" si="1"/>
        <v>5.0362458304752777E-2</v>
      </c>
      <c r="J16" s="28">
        <f t="shared" si="1"/>
        <v>5.0362458304752777E-2</v>
      </c>
    </row>
    <row r="23" spans="2:10" x14ac:dyDescent="0.25">
      <c r="C23" t="s">
        <v>537</v>
      </c>
      <c r="D23" s="128" t="s">
        <v>536</v>
      </c>
      <c r="E23" s="128" t="s">
        <v>3</v>
      </c>
    </row>
    <row r="24" spans="2:10" ht="17.25" x14ac:dyDescent="0.25">
      <c r="B24">
        <f>E24-D24</f>
        <v>9</v>
      </c>
      <c r="C24" s="128" t="s">
        <v>535</v>
      </c>
      <c r="D24" s="128">
        <v>6</v>
      </c>
      <c r="E24" s="128">
        <v>15</v>
      </c>
    </row>
    <row r="25" spans="2:10" ht="17.25" x14ac:dyDescent="0.25">
      <c r="B25">
        <f>B24-6</f>
        <v>3</v>
      </c>
      <c r="C25" s="128" t="s">
        <v>535</v>
      </c>
      <c r="D25" s="128" t="s">
        <v>534</v>
      </c>
      <c r="E25" s="128" t="s">
        <v>533</v>
      </c>
    </row>
    <row r="26" spans="2:10" ht="16.5" customHeight="1" x14ac:dyDescent="0.25">
      <c r="D26">
        <v>2020</v>
      </c>
      <c r="E26" t="s">
        <v>532</v>
      </c>
      <c r="F26" t="s">
        <v>531</v>
      </c>
      <c r="J26" s="26"/>
    </row>
    <row r="27" spans="2:10" ht="16.5" customHeight="1" x14ac:dyDescent="0.25">
      <c r="B27" s="128" t="s">
        <v>275</v>
      </c>
      <c r="C27" t="s">
        <v>530</v>
      </c>
      <c r="D27" s="176">
        <f>C50/D50</f>
        <v>480.32727272727271</v>
      </c>
      <c r="E27" s="176">
        <v>333</v>
      </c>
      <c r="F27" s="176">
        <f>($C$39*8) / 3.6 *H2.LHV.MJ_kg</f>
        <v>288.23999999999995</v>
      </c>
    </row>
    <row r="28" spans="2:10" ht="16.5" customHeight="1" x14ac:dyDescent="0.25">
      <c r="C28" t="s">
        <v>529</v>
      </c>
      <c r="D28">
        <f>D27*$C$37*$C$38</f>
        <v>5632.2246334310848</v>
      </c>
      <c r="E28">
        <f>E27*$C$37*$C$38</f>
        <v>3904.6935483870971</v>
      </c>
      <c r="F28">
        <f>F27*$C$37*$C$38</f>
        <v>3379.8464516129029</v>
      </c>
    </row>
    <row r="29" spans="2:10" ht="16.5" customHeight="1" x14ac:dyDescent="0.25">
      <c r="B29">
        <f>E29/F29</f>
        <v>1.1552872606161533</v>
      </c>
      <c r="C29" t="s">
        <v>528</v>
      </c>
      <c r="D29" s="175">
        <f>D28/H2.LHV.MJ_kg *1000</f>
        <v>46896.125174280474</v>
      </c>
      <c r="E29" s="175">
        <f>E28/H2.LHV.MJ_kg *1000</f>
        <v>32512.019553597809</v>
      </c>
      <c r="F29" s="175">
        <f>F28/H2.LHV.MJ_kg *1000</f>
        <v>28141.935483870966</v>
      </c>
    </row>
    <row r="30" spans="2:10" ht="16.5" customHeight="1" x14ac:dyDescent="0.25">
      <c r="E30" s="27">
        <f>E29/D29</f>
        <v>0.69327731092436973</v>
      </c>
      <c r="F30" s="27">
        <f>F29/D29</f>
        <v>0.60009084714967065</v>
      </c>
    </row>
    <row r="31" spans="2:10" ht="16.5" customHeight="1" x14ac:dyDescent="0.25"/>
    <row r="35" spans="2:6" ht="21" x14ac:dyDescent="0.35">
      <c r="B35" s="172" t="s">
        <v>527</v>
      </c>
    </row>
    <row r="36" spans="2:6" x14ac:dyDescent="0.25">
      <c r="B36" s="174">
        <v>44294.597152662034</v>
      </c>
    </row>
    <row r="37" spans="2:6" x14ac:dyDescent="0.25">
      <c r="B37" t="s">
        <v>526</v>
      </c>
      <c r="C37">
        <v>14.54</v>
      </c>
      <c r="D37" t="s">
        <v>525</v>
      </c>
    </row>
    <row r="38" spans="2:6" x14ac:dyDescent="0.25">
      <c r="B38" t="s">
        <v>524</v>
      </c>
      <c r="C38">
        <f>1/1.24</f>
        <v>0.80645161290322587</v>
      </c>
      <c r="D38" t="s">
        <v>101</v>
      </c>
    </row>
    <row r="39" spans="2:6" x14ac:dyDescent="0.25">
      <c r="B39" t="s">
        <v>523</v>
      </c>
      <c r="C39">
        <v>1.08</v>
      </c>
      <c r="D39" t="s">
        <v>522</v>
      </c>
    </row>
    <row r="41" spans="2:6" ht="21" x14ac:dyDescent="0.35">
      <c r="B41" s="172" t="s">
        <v>521</v>
      </c>
      <c r="C41" s="172" t="s">
        <v>520</v>
      </c>
      <c r="D41" t="s">
        <v>519</v>
      </c>
      <c r="E41" t="s">
        <v>518</v>
      </c>
      <c r="F41" t="s">
        <v>517</v>
      </c>
    </row>
    <row r="42" spans="2:6" x14ac:dyDescent="0.25">
      <c r="B42" t="s">
        <v>516</v>
      </c>
      <c r="C42" s="173">
        <f>$I$55*LN($D42)+$J$55</f>
        <v>1.1107986833785937</v>
      </c>
      <c r="D42" s="19">
        <v>30</v>
      </c>
    </row>
    <row r="43" spans="2:6" x14ac:dyDescent="0.25">
      <c r="B43" t="s">
        <v>515</v>
      </c>
      <c r="C43" s="29">
        <v>0.52</v>
      </c>
    </row>
    <row r="44" spans="2:6" x14ac:dyDescent="0.25">
      <c r="B44" t="s">
        <v>514</v>
      </c>
      <c r="C44" s="25">
        <f>$I$55*LN($D44)+$J$55</f>
        <v>2.1227224833167222</v>
      </c>
      <c r="D44">
        <v>200</v>
      </c>
      <c r="E44" t="s">
        <v>513</v>
      </c>
      <c r="F44" t="s">
        <v>512</v>
      </c>
    </row>
    <row r="45" spans="2:6" x14ac:dyDescent="0.25">
      <c r="C45" s="25">
        <f>$I$55*LN($D45)+$J$55</f>
        <v>1.5995481597602679</v>
      </c>
      <c r="D45">
        <v>75</v>
      </c>
      <c r="E45" t="s">
        <v>511</v>
      </c>
      <c r="F45" t="s">
        <v>509</v>
      </c>
    </row>
    <row r="46" spans="2:6" x14ac:dyDescent="0.25">
      <c r="C46" s="25">
        <f>$I$55*LN($D46)+$J$55</f>
        <v>2.7909462507121514</v>
      </c>
      <c r="D46">
        <v>700</v>
      </c>
      <c r="E46" t="s">
        <v>510</v>
      </c>
      <c r="F46" t="s">
        <v>509</v>
      </c>
    </row>
    <row r="48" spans="2:6" ht="21" x14ac:dyDescent="0.35">
      <c r="B48" s="172" t="s">
        <v>508</v>
      </c>
      <c r="C48" t="s">
        <v>507</v>
      </c>
      <c r="D48" t="s">
        <v>506</v>
      </c>
      <c r="E48" t="s">
        <v>505</v>
      </c>
    </row>
    <row r="49" spans="2:10" x14ac:dyDescent="0.25">
      <c r="B49" t="s">
        <v>504</v>
      </c>
      <c r="C49" t="s">
        <v>503</v>
      </c>
      <c r="D49" t="s">
        <v>502</v>
      </c>
      <c r="E49" t="s">
        <v>501</v>
      </c>
    </row>
    <row r="50" spans="2:10" x14ac:dyDescent="0.25">
      <c r="B50" t="s">
        <v>500</v>
      </c>
      <c r="C50">
        <f>Z117</f>
        <v>422688</v>
      </c>
      <c r="D50">
        <v>880</v>
      </c>
      <c r="E50" t="s">
        <v>462</v>
      </c>
    </row>
    <row r="53" spans="2:10" x14ac:dyDescent="0.25">
      <c r="H53" t="s">
        <v>499</v>
      </c>
      <c r="I53" t="s">
        <v>498</v>
      </c>
      <c r="J53" t="s">
        <v>497</v>
      </c>
    </row>
    <row r="54" spans="2:10" x14ac:dyDescent="0.25">
      <c r="H54" t="s">
        <v>496</v>
      </c>
      <c r="I54">
        <v>4.7000000000000002E-3</v>
      </c>
      <c r="J54">
        <v>0</v>
      </c>
    </row>
    <row r="55" spans="2:10" x14ac:dyDescent="0.25">
      <c r="H55" t="s">
        <v>495</v>
      </c>
      <c r="I55">
        <v>0.53339999999999999</v>
      </c>
      <c r="J55">
        <v>-0.70340000000000003</v>
      </c>
    </row>
    <row r="72" spans="2:12" x14ac:dyDescent="0.25">
      <c r="B72" t="s">
        <v>396</v>
      </c>
      <c r="L72" t="s">
        <v>494</v>
      </c>
    </row>
    <row r="86" spans="2:28" x14ac:dyDescent="0.25">
      <c r="B86" s="24" t="s">
        <v>493</v>
      </c>
      <c r="E86" t="s">
        <v>492</v>
      </c>
    </row>
    <row r="87" spans="2:28" x14ac:dyDescent="0.25">
      <c r="W87" t="s">
        <v>396</v>
      </c>
      <c r="AB87" t="s">
        <v>491</v>
      </c>
    </row>
    <row r="88" spans="2:28" x14ac:dyDescent="0.25">
      <c r="B88" s="24" t="s">
        <v>490</v>
      </c>
    </row>
    <row r="89" spans="2:28" x14ac:dyDescent="0.25">
      <c r="B89" t="s">
        <v>489</v>
      </c>
    </row>
    <row r="90" spans="2:28" x14ac:dyDescent="0.25">
      <c r="B90" t="s">
        <v>488</v>
      </c>
      <c r="W90" s="171" t="s">
        <v>487</v>
      </c>
      <c r="X90" s="171" t="s">
        <v>486</v>
      </c>
      <c r="Y90" s="171" t="s">
        <v>485</v>
      </c>
      <c r="Z90" s="171" t="s">
        <v>484</v>
      </c>
    </row>
    <row r="91" spans="2:28" x14ac:dyDescent="0.25">
      <c r="B91" t="s">
        <v>483</v>
      </c>
      <c r="W91" s="169" t="s">
        <v>482</v>
      </c>
      <c r="X91" s="170" t="s">
        <v>481</v>
      </c>
      <c r="Y91" s="169" t="s">
        <v>480</v>
      </c>
      <c r="Z91" s="169" t="s">
        <v>477</v>
      </c>
    </row>
    <row r="92" spans="2:28" ht="25.5" x14ac:dyDescent="0.25">
      <c r="B92" t="s">
        <v>479</v>
      </c>
      <c r="W92" s="156" t="s">
        <v>478</v>
      </c>
      <c r="X92" s="168">
        <v>1000</v>
      </c>
      <c r="Y92" s="167">
        <v>1000</v>
      </c>
      <c r="Z92" s="161" t="s">
        <v>477</v>
      </c>
    </row>
    <row r="93" spans="2:28" x14ac:dyDescent="0.25">
      <c r="B93" t="s">
        <v>476</v>
      </c>
      <c r="W93" s="159" t="s">
        <v>475</v>
      </c>
      <c r="X93" s="160">
        <v>4</v>
      </c>
      <c r="Y93" s="166">
        <v>4</v>
      </c>
      <c r="Z93" s="159" t="s">
        <v>474</v>
      </c>
    </row>
    <row r="94" spans="2:28" ht="21" customHeight="1" x14ac:dyDescent="0.25">
      <c r="B94" t="s">
        <v>473</v>
      </c>
      <c r="W94" s="156" t="s">
        <v>472</v>
      </c>
      <c r="X94" s="162">
        <v>250</v>
      </c>
      <c r="Y94" s="165">
        <v>250</v>
      </c>
      <c r="Z94" s="161" t="s">
        <v>471</v>
      </c>
    </row>
    <row r="95" spans="2:28" ht="21" customHeight="1" x14ac:dyDescent="0.25">
      <c r="B95" t="s">
        <v>470</v>
      </c>
      <c r="W95" s="159" t="s">
        <v>469</v>
      </c>
      <c r="X95" s="160">
        <v>700</v>
      </c>
      <c r="Y95" s="166">
        <v>700</v>
      </c>
      <c r="Z95" s="159" t="s">
        <v>468</v>
      </c>
    </row>
    <row r="96" spans="2:28" ht="21" customHeight="1" x14ac:dyDescent="0.25">
      <c r="W96" s="156" t="s">
        <v>467</v>
      </c>
      <c r="X96" s="162">
        <v>5</v>
      </c>
      <c r="Y96" s="165">
        <v>5</v>
      </c>
      <c r="Z96" s="161" t="s">
        <v>461</v>
      </c>
    </row>
    <row r="97" spans="23:26" ht="21" customHeight="1" x14ac:dyDescent="0.25">
      <c r="W97" s="159" t="s">
        <v>466</v>
      </c>
      <c r="X97" s="163" t="s">
        <v>465</v>
      </c>
      <c r="Y97" s="159" t="s">
        <v>465</v>
      </c>
      <c r="Z97" s="159" t="s">
        <v>464</v>
      </c>
    </row>
    <row r="98" spans="23:26" ht="21" customHeight="1" x14ac:dyDescent="0.25">
      <c r="W98" s="156" t="s">
        <v>463</v>
      </c>
      <c r="X98" s="164" t="s">
        <v>462</v>
      </c>
      <c r="Y98" s="156" t="s">
        <v>462</v>
      </c>
      <c r="Z98" s="161" t="s">
        <v>461</v>
      </c>
    </row>
    <row r="99" spans="23:26" ht="21" customHeight="1" x14ac:dyDescent="0.25">
      <c r="W99" s="159" t="s">
        <v>460</v>
      </c>
      <c r="X99" s="163" t="s">
        <v>459</v>
      </c>
      <c r="Y99" s="159" t="s">
        <v>459</v>
      </c>
      <c r="Z99" s="159" t="s">
        <v>455</v>
      </c>
    </row>
    <row r="100" spans="23:26" ht="21" customHeight="1" x14ac:dyDescent="0.25">
      <c r="W100" s="156" t="s">
        <v>458</v>
      </c>
      <c r="X100" s="162">
        <v>885</v>
      </c>
      <c r="Y100" s="156" t="s">
        <v>456</v>
      </c>
      <c r="Z100" s="161" t="s">
        <v>455</v>
      </c>
    </row>
    <row r="101" spans="23:26" ht="21" customHeight="1" x14ac:dyDescent="0.25">
      <c r="W101" s="159" t="s">
        <v>457</v>
      </c>
      <c r="X101" s="160">
        <v>250</v>
      </c>
      <c r="Y101" s="159" t="s">
        <v>456</v>
      </c>
      <c r="Z101" s="159" t="s">
        <v>455</v>
      </c>
    </row>
    <row r="102" spans="23:26" ht="21" customHeight="1" x14ac:dyDescent="0.25">
      <c r="W102" s="156" t="s">
        <v>454</v>
      </c>
      <c r="X102" s="158" t="s">
        <v>453</v>
      </c>
      <c r="Y102" s="157" t="s">
        <v>453</v>
      </c>
      <c r="Z102" s="156" t="s">
        <v>452</v>
      </c>
    </row>
    <row r="103" spans="23:26" ht="21" customHeight="1" x14ac:dyDescent="0.25">
      <c r="W103" s="153" t="s">
        <v>451</v>
      </c>
      <c r="X103" s="155">
        <v>0.65</v>
      </c>
      <c r="Y103" s="154">
        <v>0.65</v>
      </c>
      <c r="Z103" s="153" t="s">
        <v>450</v>
      </c>
    </row>
    <row r="104" spans="23:26" ht="21" customHeight="1" x14ac:dyDescent="0.25"/>
    <row r="105" spans="23:26" ht="21" customHeight="1" x14ac:dyDescent="0.25">
      <c r="W105" t="s">
        <v>449</v>
      </c>
      <c r="X105" t="s">
        <v>448</v>
      </c>
      <c r="Y105" t="s">
        <v>447</v>
      </c>
      <c r="Z105" t="s">
        <v>446</v>
      </c>
    </row>
    <row r="106" spans="23:26" ht="21" customHeight="1" x14ac:dyDescent="0.25">
      <c r="W106" t="s">
        <v>445</v>
      </c>
      <c r="X106">
        <v>4</v>
      </c>
      <c r="Y106" t="s">
        <v>444</v>
      </c>
      <c r="Z106">
        <v>307403</v>
      </c>
    </row>
    <row r="107" spans="23:26" ht="21" customHeight="1" x14ac:dyDescent="0.25">
      <c r="W107" t="s">
        <v>443</v>
      </c>
      <c r="X107">
        <v>1</v>
      </c>
      <c r="Y107" t="s">
        <v>442</v>
      </c>
      <c r="Z107">
        <v>40000</v>
      </c>
    </row>
    <row r="108" spans="23:26" x14ac:dyDescent="0.25">
      <c r="W108" t="s">
        <v>441</v>
      </c>
      <c r="X108">
        <v>1</v>
      </c>
      <c r="Y108" t="s">
        <v>440</v>
      </c>
      <c r="Z108">
        <v>50000</v>
      </c>
    </row>
    <row r="109" spans="23:26" x14ac:dyDescent="0.25">
      <c r="W109" t="s">
        <v>439</v>
      </c>
    </row>
    <row r="110" spans="23:26" x14ac:dyDescent="0.25">
      <c r="W110" t="s">
        <v>438</v>
      </c>
      <c r="X110">
        <v>4</v>
      </c>
      <c r="Y110" t="s">
        <v>437</v>
      </c>
      <c r="Z110">
        <v>12000</v>
      </c>
    </row>
    <row r="111" spans="23:26" x14ac:dyDescent="0.25">
      <c r="W111" t="s">
        <v>436</v>
      </c>
      <c r="X111">
        <v>9</v>
      </c>
      <c r="Y111" t="s">
        <v>435</v>
      </c>
      <c r="Z111">
        <v>2430</v>
      </c>
    </row>
    <row r="112" spans="23:26" x14ac:dyDescent="0.25">
      <c r="W112" t="s">
        <v>434</v>
      </c>
      <c r="X112">
        <v>1</v>
      </c>
      <c r="Y112" t="s">
        <v>433</v>
      </c>
      <c r="Z112">
        <v>300</v>
      </c>
    </row>
    <row r="113" spans="2:26" x14ac:dyDescent="0.25">
      <c r="W113" t="s">
        <v>432</v>
      </c>
      <c r="X113">
        <v>1</v>
      </c>
      <c r="Y113" t="s">
        <v>431</v>
      </c>
      <c r="Z113">
        <v>1250</v>
      </c>
    </row>
    <row r="114" spans="2:26" x14ac:dyDescent="0.25">
      <c r="W114" t="s">
        <v>430</v>
      </c>
      <c r="X114">
        <v>5</v>
      </c>
      <c r="Y114" t="s">
        <v>429</v>
      </c>
      <c r="Z114">
        <v>780</v>
      </c>
    </row>
    <row r="115" spans="2:26" x14ac:dyDescent="0.25">
      <c r="W115" t="s">
        <v>428</v>
      </c>
      <c r="X115" t="s">
        <v>427</v>
      </c>
      <c r="Y115" t="s">
        <v>426</v>
      </c>
      <c r="Z115">
        <v>525</v>
      </c>
    </row>
    <row r="116" spans="2:26" x14ac:dyDescent="0.25">
      <c r="W116" t="s">
        <v>425</v>
      </c>
      <c r="X116">
        <v>1</v>
      </c>
      <c r="Y116">
        <v>8000</v>
      </c>
      <c r="Z116">
        <v>8000</v>
      </c>
    </row>
    <row r="117" spans="2:26" x14ac:dyDescent="0.25">
      <c r="B117" t="s">
        <v>424</v>
      </c>
      <c r="W117" t="s">
        <v>423</v>
      </c>
      <c r="Z117">
        <v>422688</v>
      </c>
    </row>
    <row r="118" spans="2:26" x14ac:dyDescent="0.25">
      <c r="B118" t="s">
        <v>422</v>
      </c>
      <c r="C118">
        <v>20</v>
      </c>
      <c r="D118">
        <v>350</v>
      </c>
      <c r="E118">
        <v>350</v>
      </c>
      <c r="F118">
        <v>700</v>
      </c>
      <c r="G118">
        <v>700</v>
      </c>
    </row>
    <row r="119" spans="2:26" x14ac:dyDescent="0.25">
      <c r="B119" t="s">
        <v>421</v>
      </c>
      <c r="C119">
        <v>1.02</v>
      </c>
      <c r="D119">
        <v>2</v>
      </c>
      <c r="E119">
        <v>2.2000000000000002</v>
      </c>
      <c r="F119">
        <v>2.9</v>
      </c>
      <c r="G119">
        <v>3.2</v>
      </c>
    </row>
    <row r="121" spans="2:26" x14ac:dyDescent="0.25">
      <c r="B121" t="s">
        <v>420</v>
      </c>
    </row>
    <row r="122" spans="2:26" x14ac:dyDescent="0.25">
      <c r="B122" t="s">
        <v>419</v>
      </c>
    </row>
    <row r="123" spans="2:26" x14ac:dyDescent="0.25">
      <c r="B123" t="s">
        <v>418</v>
      </c>
    </row>
    <row r="124" spans="2:26" x14ac:dyDescent="0.25">
      <c r="B124" t="s">
        <v>417</v>
      </c>
    </row>
    <row r="125" spans="2:26" x14ac:dyDescent="0.25">
      <c r="B125" t="s">
        <v>416</v>
      </c>
    </row>
    <row r="126" spans="2:26" x14ac:dyDescent="0.25">
      <c r="B126" t="s">
        <v>415</v>
      </c>
    </row>
    <row r="127" spans="2:26" x14ac:dyDescent="0.25">
      <c r="B127" t="s">
        <v>414</v>
      </c>
    </row>
    <row r="128" spans="2:26" x14ac:dyDescent="0.25">
      <c r="B128" t="s">
        <v>413</v>
      </c>
    </row>
    <row r="129" spans="2:2" x14ac:dyDescent="0.25">
      <c r="B129" t="s">
        <v>412</v>
      </c>
    </row>
    <row r="130" spans="2:2" x14ac:dyDescent="0.25">
      <c r="B130" t="s">
        <v>411</v>
      </c>
    </row>
    <row r="131" spans="2:2" x14ac:dyDescent="0.25">
      <c r="B131" t="s">
        <v>410</v>
      </c>
    </row>
    <row r="132" spans="2:2" x14ac:dyDescent="0.25">
      <c r="B132" t="s">
        <v>409</v>
      </c>
    </row>
    <row r="133" spans="2:2" x14ac:dyDescent="0.25">
      <c r="B133" t="s">
        <v>408</v>
      </c>
    </row>
    <row r="134" spans="2:2" x14ac:dyDescent="0.25">
      <c r="B134" t="s">
        <v>407</v>
      </c>
    </row>
    <row r="135" spans="2:2" x14ac:dyDescent="0.25">
      <c r="B135" t="s">
        <v>406</v>
      </c>
    </row>
    <row r="136" spans="2:2" x14ac:dyDescent="0.25">
      <c r="B136" t="s">
        <v>405</v>
      </c>
    </row>
    <row r="137" spans="2:2" x14ac:dyDescent="0.25">
      <c r="B137" t="s">
        <v>404</v>
      </c>
    </row>
    <row r="138" spans="2:2" x14ac:dyDescent="0.25">
      <c r="B138" t="s">
        <v>403</v>
      </c>
    </row>
    <row r="139" spans="2:2" x14ac:dyDescent="0.25">
      <c r="B139" t="s">
        <v>402</v>
      </c>
    </row>
    <row r="140" spans="2:2" x14ac:dyDescent="0.25">
      <c r="B140" t="s">
        <v>401</v>
      </c>
    </row>
    <row r="141" spans="2:2" x14ac:dyDescent="0.25">
      <c r="B141" t="s">
        <v>400</v>
      </c>
    </row>
    <row r="142" spans="2:2" x14ac:dyDescent="0.25">
      <c r="B142" t="s">
        <v>399</v>
      </c>
    </row>
    <row r="143" spans="2:2" x14ac:dyDescent="0.25">
      <c r="B143" t="s">
        <v>398</v>
      </c>
    </row>
    <row r="147" spans="2:2" x14ac:dyDescent="0.25">
      <c r="B147" t="s">
        <v>397</v>
      </c>
    </row>
    <row r="148" spans="2:2" x14ac:dyDescent="0.25">
      <c r="B148" t="s">
        <v>396</v>
      </c>
    </row>
  </sheetData>
  <hyperlinks>
    <hyperlink ref="B88" r:id="rId1" xr:uid="{90EC3A69-DB52-4E1B-89C3-78A79E8CDB00}"/>
    <hyperlink ref="B86" r:id="rId2" xr:uid="{32F24361-58BA-4CBC-B3D4-501C462867F7}"/>
  </hyperlinks>
  <pageMargins left="0.7" right="0.7" top="0.75" bottom="0.75" header="0.3" footer="0.3"/>
  <drawing r:id="rId3"/>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F39DF-0B08-478C-9C12-80E245B00458}">
  <sheetPr>
    <tabColor theme="7"/>
  </sheetPr>
  <dimension ref="A1:S62"/>
  <sheetViews>
    <sheetView topLeftCell="A55" workbookViewId="0">
      <selection activeCell="I98" sqref="I98"/>
    </sheetView>
  </sheetViews>
  <sheetFormatPr defaultRowHeight="15" x14ac:dyDescent="0.25"/>
  <cols>
    <col min="1" max="2" width="16.85546875" customWidth="1"/>
    <col min="3" max="3" width="23.85546875" customWidth="1"/>
    <col min="4" max="4" width="15.5703125" customWidth="1"/>
    <col min="5" max="5" width="15.42578125" customWidth="1"/>
    <col min="6" max="6" width="14.42578125" customWidth="1"/>
    <col min="7" max="7" width="14.7109375" bestFit="1" customWidth="1"/>
    <col min="8" max="8" width="15.7109375" bestFit="1" customWidth="1"/>
    <col min="9" max="9" width="19" customWidth="1"/>
    <col min="10" max="10" width="12.5703125" bestFit="1" customWidth="1"/>
    <col min="13" max="13" width="9.5703125" bestFit="1" customWidth="1"/>
  </cols>
  <sheetData>
    <row r="1" spans="1:10" x14ac:dyDescent="0.25">
      <c r="A1" s="16" t="s">
        <v>395</v>
      </c>
    </row>
    <row r="2" spans="1:10" x14ac:dyDescent="0.25">
      <c r="A2" t="s">
        <v>394</v>
      </c>
      <c r="B2" t="s">
        <v>393</v>
      </c>
    </row>
    <row r="3" spans="1:10" x14ac:dyDescent="0.25">
      <c r="A3" t="s">
        <v>392</v>
      </c>
      <c r="B3" t="s">
        <v>391</v>
      </c>
    </row>
    <row r="4" spans="1:10" x14ac:dyDescent="0.25">
      <c r="A4" s="16"/>
      <c r="I4" s="152" t="s">
        <v>390</v>
      </c>
      <c r="J4" s="152"/>
    </row>
    <row r="5" spans="1:10" x14ac:dyDescent="0.25">
      <c r="A5" t="s">
        <v>112</v>
      </c>
      <c r="B5" t="s">
        <v>111</v>
      </c>
      <c r="C5" s="16"/>
      <c r="F5" s="128">
        <v>2020</v>
      </c>
      <c r="G5" s="128">
        <v>2030</v>
      </c>
      <c r="H5" s="142">
        <v>2035</v>
      </c>
      <c r="I5" s="151">
        <v>2040</v>
      </c>
      <c r="J5" s="151">
        <v>2050</v>
      </c>
    </row>
    <row r="6" spans="1:10" x14ac:dyDescent="0.25">
      <c r="A6" s="147" t="s">
        <v>384</v>
      </c>
      <c r="B6" t="s">
        <v>23</v>
      </c>
      <c r="C6" t="s">
        <v>389</v>
      </c>
      <c r="F6" s="149">
        <f>F51*$D$20</f>
        <v>19642.016806722688</v>
      </c>
      <c r="G6" s="149">
        <f>AVERAGE(F6,H6)</f>
        <v>13546.218487394957</v>
      </c>
      <c r="H6" s="149">
        <f t="shared" ref="H6:J7" si="0">H51*$D$20</f>
        <v>7450.4201680672268</v>
      </c>
      <c r="I6" s="148">
        <f t="shared" si="0"/>
        <v>6271.0466004583659</v>
      </c>
      <c r="J6" s="148">
        <f t="shared" si="0"/>
        <v>5091.6730328495041</v>
      </c>
    </row>
    <row r="7" spans="1:10" x14ac:dyDescent="0.25">
      <c r="A7" s="147" t="s">
        <v>383</v>
      </c>
      <c r="B7" t="s">
        <v>23</v>
      </c>
      <c r="C7" t="s">
        <v>389</v>
      </c>
      <c r="F7" s="149">
        <f>F52*$D$20</f>
        <v>12868.90756302521</v>
      </c>
      <c r="G7" s="149">
        <f>AVERAGE(F7,H7)</f>
        <v>9482.3529411764703</v>
      </c>
      <c r="H7" s="149">
        <f t="shared" si="0"/>
        <v>6095.7983193277314</v>
      </c>
      <c r="I7" s="148">
        <f t="shared" si="0"/>
        <v>4856.9561157796461</v>
      </c>
      <c r="J7" s="148">
        <f t="shared" si="0"/>
        <v>3618.1139122315594</v>
      </c>
    </row>
    <row r="8" spans="1:10" x14ac:dyDescent="0.25">
      <c r="A8" s="147" t="s">
        <v>384</v>
      </c>
      <c r="B8" t="s">
        <v>43</v>
      </c>
      <c r="C8" t="s">
        <v>388</v>
      </c>
      <c r="D8" s="150">
        <v>1.4999999999999999E-2</v>
      </c>
      <c r="F8" s="149">
        <f t="shared" ref="F8:J9" si="1">$D$8*F6</f>
        <v>294.63025210084032</v>
      </c>
      <c r="G8" s="149">
        <f t="shared" si="1"/>
        <v>203.19327731092434</v>
      </c>
      <c r="H8" s="149">
        <f t="shared" si="1"/>
        <v>111.75630252100839</v>
      </c>
      <c r="I8" s="148">
        <f t="shared" si="1"/>
        <v>94.065699006875491</v>
      </c>
      <c r="J8" s="148">
        <f t="shared" si="1"/>
        <v>76.37509549274256</v>
      </c>
    </row>
    <row r="9" spans="1:10" x14ac:dyDescent="0.25">
      <c r="A9" s="147" t="s">
        <v>383</v>
      </c>
      <c r="B9" t="s">
        <v>43</v>
      </c>
      <c r="C9" t="s">
        <v>388</v>
      </c>
      <c r="D9" s="150">
        <f>D8</f>
        <v>1.4999999999999999E-2</v>
      </c>
      <c r="F9" s="149">
        <f t="shared" si="1"/>
        <v>193.03361344537814</v>
      </c>
      <c r="G9" s="149">
        <f t="shared" si="1"/>
        <v>142.23529411764704</v>
      </c>
      <c r="H9" s="149">
        <f t="shared" si="1"/>
        <v>91.436974789915965</v>
      </c>
      <c r="I9" s="148">
        <f t="shared" si="1"/>
        <v>72.854341736694693</v>
      </c>
      <c r="J9" s="148">
        <f t="shared" si="1"/>
        <v>54.271708683473392</v>
      </c>
    </row>
    <row r="10" spans="1:10" x14ac:dyDescent="0.25">
      <c r="A10" s="147" t="s">
        <v>384</v>
      </c>
      <c r="B10" t="s">
        <v>106</v>
      </c>
      <c r="C10" t="s">
        <v>387</v>
      </c>
      <c r="F10" s="149">
        <f t="shared" ref="F10:H11" si="2">F60/8760</f>
        <v>7.6103500761035017</v>
      </c>
      <c r="G10" s="149">
        <f t="shared" si="2"/>
        <v>9.512937595129376</v>
      </c>
      <c r="H10" s="149">
        <f t="shared" si="2"/>
        <v>15.854895991882291</v>
      </c>
      <c r="I10" s="148">
        <f>H10</f>
        <v>15.854895991882291</v>
      </c>
      <c r="J10" s="148">
        <f>I10</f>
        <v>15.854895991882291</v>
      </c>
    </row>
    <row r="11" spans="1:10" x14ac:dyDescent="0.25">
      <c r="A11" s="147" t="s">
        <v>383</v>
      </c>
      <c r="B11" t="s">
        <v>106</v>
      </c>
      <c r="C11" t="s">
        <v>387</v>
      </c>
      <c r="F11" s="149">
        <f t="shared" si="2"/>
        <v>9.512937595129376</v>
      </c>
      <c r="G11" s="149">
        <f t="shared" si="2"/>
        <v>12.049720953830542</v>
      </c>
      <c r="H11" s="149">
        <f t="shared" si="2"/>
        <v>15.854895991882291</v>
      </c>
      <c r="I11" s="148">
        <f>I10</f>
        <v>15.854895991882291</v>
      </c>
      <c r="J11" s="148">
        <f>I11</f>
        <v>15.854895991882291</v>
      </c>
    </row>
    <row r="12" spans="1:10" x14ac:dyDescent="0.25">
      <c r="A12" s="147" t="s">
        <v>384</v>
      </c>
      <c r="B12" t="s">
        <v>45</v>
      </c>
      <c r="C12" t="s">
        <v>386</v>
      </c>
      <c r="F12" s="146">
        <v>0.9</v>
      </c>
      <c r="G12" s="146">
        <v>0.9</v>
      </c>
      <c r="H12" s="146">
        <v>0.9</v>
      </c>
      <c r="I12" s="145">
        <f>H12</f>
        <v>0.9</v>
      </c>
      <c r="J12" s="145">
        <f>I12</f>
        <v>0.9</v>
      </c>
    </row>
    <row r="13" spans="1:10" x14ac:dyDescent="0.25">
      <c r="A13" s="147" t="s">
        <v>383</v>
      </c>
      <c r="B13" t="s">
        <v>45</v>
      </c>
      <c r="C13" t="s">
        <v>386</v>
      </c>
      <c r="F13" s="146">
        <v>0.9</v>
      </c>
      <c r="G13" s="146">
        <v>0.9</v>
      </c>
      <c r="H13" s="146">
        <v>0.9</v>
      </c>
      <c r="I13" s="145">
        <f>H13</f>
        <v>0.9</v>
      </c>
      <c r="J13" s="145">
        <f>I13</f>
        <v>0.9</v>
      </c>
    </row>
    <row r="14" spans="1:10" x14ac:dyDescent="0.25">
      <c r="A14" s="147" t="s">
        <v>384</v>
      </c>
      <c r="B14" t="s">
        <v>107</v>
      </c>
      <c r="C14" t="s">
        <v>385</v>
      </c>
      <c r="F14" s="146">
        <f>AVERAGE(56, 60)/100</f>
        <v>0.57999999999999996</v>
      </c>
      <c r="G14" s="146">
        <f>AVERAGE(63,68)/100</f>
        <v>0.65500000000000003</v>
      </c>
      <c r="H14" s="146">
        <f>AVERAGE(67,74)/100</f>
        <v>0.70499999999999996</v>
      </c>
      <c r="I14" s="145">
        <f>$R$40*I$5 +$S$40</f>
        <v>0.71300000000000097</v>
      </c>
      <c r="J14" s="145">
        <f>$R$40*J$5 +$S$40</f>
        <v>0.79500000000000171</v>
      </c>
    </row>
    <row r="15" spans="1:10" x14ac:dyDescent="0.25">
      <c r="A15" s="147" t="s">
        <v>383</v>
      </c>
      <c r="B15" t="s">
        <v>107</v>
      </c>
      <c r="C15" t="s">
        <v>385</v>
      </c>
      <c r="F15" s="146">
        <f>AVERAGE(63, 70)/100</f>
        <v>0.66500000000000004</v>
      </c>
      <c r="G15" s="146">
        <f>AVERAGE(65,71)/100</f>
        <v>0.68</v>
      </c>
      <c r="H15" s="146">
        <f>AVERAGE(70,80)/100</f>
        <v>0.75</v>
      </c>
      <c r="I15" s="145">
        <f>$R$59*I$5 +$S$59</f>
        <v>0.81579999999999941</v>
      </c>
      <c r="J15" s="145">
        <f>I15</f>
        <v>0.81579999999999941</v>
      </c>
    </row>
    <row r="16" spans="1:10" x14ac:dyDescent="0.25">
      <c r="A16" s="147" t="s">
        <v>384</v>
      </c>
      <c r="B16" t="s">
        <v>46</v>
      </c>
      <c r="C16" t="s">
        <v>105</v>
      </c>
      <c r="F16" s="146">
        <v>-2</v>
      </c>
      <c r="G16" s="146">
        <f>F16</f>
        <v>-2</v>
      </c>
      <c r="H16" s="146">
        <f>G16</f>
        <v>-2</v>
      </c>
      <c r="I16" s="145">
        <f>H16</f>
        <v>-2</v>
      </c>
      <c r="J16" s="145">
        <f>I16</f>
        <v>-2</v>
      </c>
    </row>
    <row r="17" spans="1:10" x14ac:dyDescent="0.25">
      <c r="A17" s="147" t="s">
        <v>383</v>
      </c>
      <c r="B17" t="s">
        <v>46</v>
      </c>
      <c r="C17" t="s">
        <v>105</v>
      </c>
      <c r="F17" s="146">
        <f>F16</f>
        <v>-2</v>
      </c>
      <c r="G17" s="146">
        <f>G16</f>
        <v>-2</v>
      </c>
      <c r="H17" s="146">
        <f>H16</f>
        <v>-2</v>
      </c>
      <c r="I17" s="145">
        <f>I16</f>
        <v>-2</v>
      </c>
      <c r="J17" s="145">
        <f>J16</f>
        <v>-2</v>
      </c>
    </row>
    <row r="19" spans="1:10" x14ac:dyDescent="0.25">
      <c r="C19" t="s">
        <v>382</v>
      </c>
      <c r="D19" s="144">
        <f>D23*D21*D20</f>
        <v>13.54621848739496</v>
      </c>
    </row>
    <row r="20" spans="1:10" x14ac:dyDescent="0.25">
      <c r="C20" s="23" t="s">
        <v>98</v>
      </c>
      <c r="D20" s="22">
        <f>1/1.19</f>
        <v>0.84033613445378152</v>
      </c>
    </row>
    <row r="21" spans="1:10" x14ac:dyDescent="0.25">
      <c r="C21" s="23" t="s">
        <v>97</v>
      </c>
      <c r="D21" s="22">
        <v>15.5</v>
      </c>
      <c r="E21" t="s">
        <v>96</v>
      </c>
    </row>
    <row r="22" spans="1:10" x14ac:dyDescent="0.25">
      <c r="C22" s="23" t="s">
        <v>381</v>
      </c>
      <c r="D22" s="22">
        <f>1/1.56</f>
        <v>0.64102564102564097</v>
      </c>
    </row>
    <row r="23" spans="1:10" x14ac:dyDescent="0.25">
      <c r="C23" s="22" t="s">
        <v>100</v>
      </c>
      <c r="D23" s="22">
        <v>1.04</v>
      </c>
      <c r="E23" t="s">
        <v>99</v>
      </c>
    </row>
    <row r="27" spans="1:10" x14ac:dyDescent="0.25">
      <c r="A27" s="143"/>
    </row>
    <row r="29" spans="1:10" x14ac:dyDescent="0.25">
      <c r="D29">
        <v>19642.016806722688</v>
      </c>
    </row>
    <row r="39" spans="3:19" x14ac:dyDescent="0.25">
      <c r="C39" t="s">
        <v>380</v>
      </c>
      <c r="D39">
        <v>120.1</v>
      </c>
      <c r="E39" t="s">
        <v>95</v>
      </c>
      <c r="F39" t="s">
        <v>379</v>
      </c>
    </row>
    <row r="40" spans="3:19" x14ac:dyDescent="0.25">
      <c r="F40" s="128">
        <f>F5</f>
        <v>2020</v>
      </c>
      <c r="G40" s="128">
        <f>G5</f>
        <v>2030</v>
      </c>
      <c r="H40" s="142">
        <f>H5</f>
        <v>2035</v>
      </c>
      <c r="I40" s="128">
        <f>I5</f>
        <v>2040</v>
      </c>
      <c r="J40" s="128">
        <f>J5</f>
        <v>2050</v>
      </c>
      <c r="K40" s="318" t="s">
        <v>378</v>
      </c>
      <c r="L40" s="21" t="s">
        <v>377</v>
      </c>
      <c r="R40">
        <v>8.2000000000000007E-3</v>
      </c>
      <c r="S40">
        <v>-16.015000000000001</v>
      </c>
    </row>
    <row r="41" spans="3:19" x14ac:dyDescent="0.25">
      <c r="C41" t="s">
        <v>363</v>
      </c>
      <c r="D41" t="s">
        <v>275</v>
      </c>
      <c r="E41" s="134" t="s">
        <v>375</v>
      </c>
      <c r="F41" s="141">
        <f>AVERAGE(1800,1100)* $D$23</f>
        <v>1508</v>
      </c>
      <c r="G41" s="141">
        <f>AVERAGE(650,1500)*$D$23</f>
        <v>1118</v>
      </c>
      <c r="H41" s="141">
        <f>AVERAGE(200,900)*$D$23</f>
        <v>572</v>
      </c>
      <c r="I41" s="140">
        <f>AVERAGE(H41,J41)</f>
        <v>481.4545454545455</v>
      </c>
      <c r="J41" s="140">
        <f>INDEX(L41:M41,MATCH($J$43,$L$43:$M$43,0))</f>
        <v>390.90909090909093</v>
      </c>
      <c r="K41" s="318"/>
      <c r="L41" s="65">
        <v>200</v>
      </c>
      <c r="M41" s="139">
        <f>G41/H41*L41</f>
        <v>390.90909090909093</v>
      </c>
    </row>
    <row r="42" spans="3:19" x14ac:dyDescent="0.25">
      <c r="C42" t="s">
        <v>376</v>
      </c>
      <c r="D42" t="s">
        <v>275</v>
      </c>
      <c r="E42" s="134" t="s">
        <v>375</v>
      </c>
      <c r="F42" s="141">
        <f>AVERAGE(500,1400)*$D$23</f>
        <v>988</v>
      </c>
      <c r="G42" s="141">
        <f>AVERAGE(400,850)*$D$23</f>
        <v>650</v>
      </c>
      <c r="H42" s="141">
        <f>AVERAGE(700,200)*$D$23</f>
        <v>468</v>
      </c>
      <c r="I42" s="140">
        <f>AVERAGE(H42,J42)</f>
        <v>372.88888888888891</v>
      </c>
      <c r="J42" s="140">
        <f>INDEX(L42:M42,MATCH($J$43,$L$43:$M$43,0))</f>
        <v>277.77777777777777</v>
      </c>
      <c r="K42" s="318"/>
      <c r="L42" s="65">
        <v>200</v>
      </c>
      <c r="M42" s="139">
        <f>G42/H42*L42</f>
        <v>277.77777777777777</v>
      </c>
    </row>
    <row r="43" spans="3:19" x14ac:dyDescent="0.25">
      <c r="F43" s="128"/>
      <c r="G43" s="128"/>
      <c r="H43" s="128"/>
      <c r="I43" s="128"/>
      <c r="J43" s="138">
        <v>2</v>
      </c>
      <c r="L43" s="65">
        <v>1</v>
      </c>
      <c r="M43" s="65">
        <v>2</v>
      </c>
    </row>
    <row r="44" spans="3:19" x14ac:dyDescent="0.25">
      <c r="L44" t="s">
        <v>374</v>
      </c>
      <c r="M44" t="s">
        <v>373</v>
      </c>
    </row>
    <row r="45" spans="3:19" x14ac:dyDescent="0.25">
      <c r="C45" s="137" t="s">
        <v>372</v>
      </c>
      <c r="D45" s="136">
        <f>1000000000</f>
        <v>1000000000</v>
      </c>
      <c r="E45" t="s">
        <v>371</v>
      </c>
    </row>
    <row r="46" spans="3:19" x14ac:dyDescent="0.25">
      <c r="E46" s="134" t="s">
        <v>370</v>
      </c>
      <c r="F46" s="128">
        <f>1000*8760*3600</f>
        <v>31536000000</v>
      </c>
      <c r="G46" s="128">
        <f>1000*8760*3600</f>
        <v>31536000000</v>
      </c>
      <c r="H46" s="128">
        <f>1000*8760*3600</f>
        <v>31536000000</v>
      </c>
      <c r="I46" s="128">
        <f>1000*8760*3600</f>
        <v>31536000000</v>
      </c>
      <c r="J46" s="128">
        <f>1000*8760*3600</f>
        <v>31536000000</v>
      </c>
    </row>
    <row r="47" spans="3:19" x14ac:dyDescent="0.25">
      <c r="C47" t="s">
        <v>363</v>
      </c>
      <c r="D47" t="s">
        <v>275</v>
      </c>
      <c r="E47" s="134" t="s">
        <v>369</v>
      </c>
      <c r="F47" s="135">
        <f t="shared" ref="F47:J48" si="3">F41/F$46</f>
        <v>4.7818366311516996E-8</v>
      </c>
      <c r="G47" s="135">
        <f t="shared" si="3"/>
        <v>3.545154743784881E-8</v>
      </c>
      <c r="H47" s="135">
        <f t="shared" si="3"/>
        <v>1.8138001014713343E-8</v>
      </c>
      <c r="I47" s="135">
        <f t="shared" si="3"/>
        <v>1.5266823486001568E-8</v>
      </c>
      <c r="J47" s="135">
        <f t="shared" si="3"/>
        <v>1.2395645957289793E-8</v>
      </c>
    </row>
    <row r="48" spans="3:19" x14ac:dyDescent="0.25">
      <c r="C48" t="s">
        <v>362</v>
      </c>
      <c r="D48" t="s">
        <v>275</v>
      </c>
      <c r="E48" s="134" t="s">
        <v>369</v>
      </c>
      <c r="F48" s="135">
        <f t="shared" si="3"/>
        <v>3.1329274479959411E-8</v>
      </c>
      <c r="G48" s="135">
        <f t="shared" si="3"/>
        <v>2.0611364789446981E-8</v>
      </c>
      <c r="H48" s="135">
        <f t="shared" si="3"/>
        <v>1.4840182648401826E-8</v>
      </c>
      <c r="I48" s="135">
        <f t="shared" si="3"/>
        <v>1.1824229099723774E-8</v>
      </c>
      <c r="J48" s="135">
        <f t="shared" si="3"/>
        <v>8.8082755510457179E-9</v>
      </c>
    </row>
    <row r="49" spans="3:19" x14ac:dyDescent="0.25">
      <c r="C49" t="s">
        <v>363</v>
      </c>
      <c r="D49" t="s">
        <v>275</v>
      </c>
      <c r="E49" s="134" t="s">
        <v>368</v>
      </c>
      <c r="F49" s="132">
        <f t="shared" ref="F49:J50" si="4">F47*$D$45</f>
        <v>47.818366311516996</v>
      </c>
      <c r="G49" s="132">
        <f t="shared" si="4"/>
        <v>35.451547437848809</v>
      </c>
      <c r="H49" s="132">
        <f t="shared" si="4"/>
        <v>18.138001014713343</v>
      </c>
      <c r="I49" s="132">
        <f t="shared" si="4"/>
        <v>15.266823486001568</v>
      </c>
      <c r="J49" s="132">
        <f t="shared" si="4"/>
        <v>12.395645957289794</v>
      </c>
    </row>
    <row r="50" spans="3:19" x14ac:dyDescent="0.25">
      <c r="C50" t="s">
        <v>362</v>
      </c>
      <c r="D50" t="s">
        <v>275</v>
      </c>
      <c r="E50" s="134" t="s">
        <v>368</v>
      </c>
      <c r="F50" s="132">
        <f t="shared" si="4"/>
        <v>31.329274479959413</v>
      </c>
      <c r="G50" s="132">
        <f t="shared" si="4"/>
        <v>20.611364789446981</v>
      </c>
      <c r="H50" s="132">
        <f t="shared" si="4"/>
        <v>14.840182648401827</v>
      </c>
      <c r="I50" s="132">
        <f t="shared" si="4"/>
        <v>11.824229099723773</v>
      </c>
      <c r="J50" s="132">
        <f t="shared" si="4"/>
        <v>8.8082755510457176</v>
      </c>
    </row>
    <row r="51" spans="3:19" x14ac:dyDescent="0.25">
      <c r="C51" t="s">
        <v>363</v>
      </c>
      <c r="D51" t="s">
        <v>275</v>
      </c>
      <c r="E51" s="133" t="s">
        <v>367</v>
      </c>
      <c r="F51" s="129">
        <f t="shared" ref="F51:J52" si="5">F41*$D$21</f>
        <v>23374</v>
      </c>
      <c r="G51" s="129">
        <f t="shared" si="5"/>
        <v>17329</v>
      </c>
      <c r="H51" s="129">
        <f t="shared" si="5"/>
        <v>8866</v>
      </c>
      <c r="I51" s="129">
        <f t="shared" si="5"/>
        <v>7462.545454545455</v>
      </c>
      <c r="J51" s="129">
        <f t="shared" si="5"/>
        <v>6059.0909090909099</v>
      </c>
    </row>
    <row r="52" spans="3:19" x14ac:dyDescent="0.25">
      <c r="C52" t="s">
        <v>362</v>
      </c>
      <c r="D52" t="s">
        <v>275</v>
      </c>
      <c r="E52" s="133" t="s">
        <v>367</v>
      </c>
      <c r="F52" s="129">
        <f t="shared" si="5"/>
        <v>15314</v>
      </c>
      <c r="G52" s="129">
        <f t="shared" si="5"/>
        <v>10075</v>
      </c>
      <c r="H52" s="129">
        <f t="shared" si="5"/>
        <v>7254</v>
      </c>
      <c r="I52" s="129">
        <f t="shared" si="5"/>
        <v>5779.7777777777783</v>
      </c>
      <c r="J52" s="129">
        <f t="shared" si="5"/>
        <v>4305.5555555555557</v>
      </c>
    </row>
    <row r="53" spans="3:19" x14ac:dyDescent="0.25">
      <c r="C53" t="s">
        <v>363</v>
      </c>
      <c r="D53" t="s">
        <v>275</v>
      </c>
      <c r="E53" s="133" t="s">
        <v>366</v>
      </c>
      <c r="F53" s="132">
        <f t="shared" ref="F53:J54" si="6">F49*$D$21</f>
        <v>741.18467782851349</v>
      </c>
      <c r="G53" s="132">
        <f t="shared" si="6"/>
        <v>549.49898528665653</v>
      </c>
      <c r="H53" s="132">
        <f t="shared" si="6"/>
        <v>281.13901572805679</v>
      </c>
      <c r="I53" s="132">
        <f t="shared" si="6"/>
        <v>236.63576403302432</v>
      </c>
      <c r="J53" s="132">
        <f t="shared" si="6"/>
        <v>192.13251233799181</v>
      </c>
    </row>
    <row r="54" spans="3:19" x14ac:dyDescent="0.25">
      <c r="C54" t="s">
        <v>362</v>
      </c>
      <c r="D54" t="s">
        <v>275</v>
      </c>
      <c r="E54" s="133" t="s">
        <v>366</v>
      </c>
      <c r="F54" s="132">
        <f t="shared" si="6"/>
        <v>485.6037544393709</v>
      </c>
      <c r="G54" s="132">
        <f t="shared" si="6"/>
        <v>319.47615423642821</v>
      </c>
      <c r="H54" s="132">
        <f t="shared" si="6"/>
        <v>230.02283105022832</v>
      </c>
      <c r="I54" s="132">
        <f t="shared" si="6"/>
        <v>183.27555104571849</v>
      </c>
      <c r="J54" s="132">
        <f t="shared" si="6"/>
        <v>136.52827104120863</v>
      </c>
    </row>
    <row r="55" spans="3:19" x14ac:dyDescent="0.25">
      <c r="E55" s="133"/>
      <c r="F55" s="132"/>
      <c r="G55" s="132"/>
      <c r="H55" s="132"/>
      <c r="I55" s="132"/>
      <c r="J55" s="132"/>
    </row>
    <row r="56" spans="3:19" x14ac:dyDescent="0.25">
      <c r="E56" s="133"/>
      <c r="F56" s="132"/>
      <c r="G56" s="132"/>
      <c r="H56" s="132"/>
      <c r="I56" s="128"/>
      <c r="J56" s="128"/>
    </row>
    <row r="57" spans="3:19" x14ac:dyDescent="0.25">
      <c r="C57" t="s">
        <v>365</v>
      </c>
      <c r="F57" s="128">
        <f>F40</f>
        <v>2020</v>
      </c>
      <c r="G57" s="128">
        <f>G40</f>
        <v>2030</v>
      </c>
      <c r="H57" s="128">
        <f>H40</f>
        <v>2035</v>
      </c>
      <c r="I57" s="128"/>
      <c r="J57" s="128"/>
    </row>
    <row r="58" spans="3:19" x14ac:dyDescent="0.25">
      <c r="C58" t="s">
        <v>363</v>
      </c>
      <c r="E58" t="s">
        <v>364</v>
      </c>
      <c r="F58" s="131">
        <f>AVERAGE(30000,90000)</f>
        <v>60000</v>
      </c>
      <c r="G58" s="131">
        <f>AVERAGE(60000,90000)</f>
        <v>75000</v>
      </c>
      <c r="H58" s="131">
        <f>AVERAGE(100000,150000)</f>
        <v>125000</v>
      </c>
      <c r="I58" s="128"/>
      <c r="J58" s="128"/>
    </row>
    <row r="59" spans="3:19" x14ac:dyDescent="0.25">
      <c r="C59" t="s">
        <v>362</v>
      </c>
      <c r="E59" t="s">
        <v>364</v>
      </c>
      <c r="F59" s="131">
        <f>AVERAGE(60000,90000)</f>
        <v>75000</v>
      </c>
      <c r="G59" s="131">
        <f>AVERAGE(90000,100000)</f>
        <v>95000</v>
      </c>
      <c r="H59" s="131">
        <f>AVERAGE(100000,150000)</f>
        <v>125000</v>
      </c>
      <c r="I59" s="128"/>
      <c r="J59" s="128"/>
      <c r="M59" s="130"/>
      <c r="R59">
        <v>5.1000000000000004E-3</v>
      </c>
      <c r="S59">
        <v>-9.5882000000000005</v>
      </c>
    </row>
    <row r="60" spans="3:19" x14ac:dyDescent="0.25">
      <c r="C60" t="s">
        <v>363</v>
      </c>
      <c r="E60" t="s">
        <v>361</v>
      </c>
      <c r="F60" s="129">
        <f t="shared" ref="F60:H61" si="7">F58/F12</f>
        <v>66666.666666666672</v>
      </c>
      <c r="G60" s="129">
        <f t="shared" si="7"/>
        <v>83333.333333333328</v>
      </c>
      <c r="H60" s="129">
        <f t="shared" si="7"/>
        <v>138888.88888888888</v>
      </c>
      <c r="I60" s="128"/>
      <c r="J60" s="128"/>
    </row>
    <row r="61" spans="3:19" x14ac:dyDescent="0.25">
      <c r="C61" t="s">
        <v>362</v>
      </c>
      <c r="E61" t="s">
        <v>361</v>
      </c>
      <c r="F61" s="129">
        <f t="shared" si="7"/>
        <v>83333.333333333328</v>
      </c>
      <c r="G61" s="129">
        <f t="shared" si="7"/>
        <v>105555.55555555555</v>
      </c>
      <c r="H61" s="129">
        <f t="shared" si="7"/>
        <v>138888.88888888888</v>
      </c>
      <c r="I61" s="128"/>
      <c r="J61" s="128"/>
    </row>
    <row r="62" spans="3:19" x14ac:dyDescent="0.25">
      <c r="I62" s="128"/>
      <c r="J62" s="128"/>
    </row>
  </sheetData>
  <mergeCells count="1">
    <mergeCell ref="K40:K42"/>
  </mergeCell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6EC81-ED0E-48D7-8D33-8B56D573E650}">
  <dimension ref="A1:AH33"/>
  <sheetViews>
    <sheetView workbookViewId="0">
      <selection activeCell="Z34" sqref="Z34:Z35"/>
    </sheetView>
  </sheetViews>
  <sheetFormatPr defaultColWidth="11.42578125" defaultRowHeight="12.75" x14ac:dyDescent="0.2"/>
  <cols>
    <col min="1" max="1" width="12.7109375" style="179" customWidth="1"/>
    <col min="2" max="2" width="6.7109375" style="179" customWidth="1"/>
    <col min="3" max="21" width="5.42578125" style="179" customWidth="1"/>
    <col min="22" max="23" width="5.7109375" style="179" customWidth="1"/>
    <col min="24" max="16384" width="11.42578125" style="179"/>
  </cols>
  <sheetData>
    <row r="1" spans="1:34" ht="15.75" customHeight="1" x14ac:dyDescent="0.25">
      <c r="A1" s="250" t="s">
        <v>587</v>
      </c>
      <c r="B1" s="250">
        <v>1991</v>
      </c>
      <c r="C1" s="250">
        <v>1992</v>
      </c>
      <c r="D1" s="250">
        <v>1993</v>
      </c>
      <c r="E1" s="250">
        <v>1994</v>
      </c>
      <c r="F1" s="250">
        <v>1995</v>
      </c>
      <c r="G1" s="250">
        <v>1996</v>
      </c>
      <c r="H1" s="250">
        <v>1997</v>
      </c>
      <c r="I1" s="250">
        <v>1998</v>
      </c>
      <c r="J1" s="250">
        <v>1999</v>
      </c>
      <c r="K1" s="250">
        <v>2000</v>
      </c>
      <c r="L1" s="250">
        <v>2001</v>
      </c>
      <c r="M1" s="250">
        <v>2002</v>
      </c>
      <c r="N1" s="250">
        <v>2003</v>
      </c>
      <c r="O1" s="250">
        <v>2004</v>
      </c>
      <c r="P1" s="250">
        <v>2005</v>
      </c>
      <c r="Q1" s="250">
        <v>2006</v>
      </c>
      <c r="R1" s="250">
        <v>2007</v>
      </c>
      <c r="S1" s="250">
        <v>2008</v>
      </c>
      <c r="T1" s="250">
        <v>2009</v>
      </c>
      <c r="U1" s="249">
        <v>2010</v>
      </c>
      <c r="V1" s="249">
        <v>2011</v>
      </c>
      <c r="W1" s="249">
        <v>2012</v>
      </c>
      <c r="X1" s="248">
        <v>2013</v>
      </c>
      <c r="Y1" s="248">
        <v>2014</v>
      </c>
      <c r="Z1" s="248">
        <v>2015</v>
      </c>
      <c r="AA1" s="248">
        <v>2016</v>
      </c>
      <c r="AB1" s="247">
        <v>2017</v>
      </c>
      <c r="AC1" s="247">
        <v>2018</v>
      </c>
      <c r="AD1" s="247">
        <v>2019</v>
      </c>
      <c r="AE1" s="234">
        <v>2020</v>
      </c>
      <c r="AF1" s="234">
        <v>2021</v>
      </c>
      <c r="AG1" s="234"/>
      <c r="AH1" s="246" t="s">
        <v>602</v>
      </c>
    </row>
    <row r="2" spans="1:34" ht="15.75" customHeight="1" x14ac:dyDescent="0.2">
      <c r="A2" s="245" t="s">
        <v>574</v>
      </c>
      <c r="B2" s="244">
        <v>15.727008694067001</v>
      </c>
      <c r="C2" s="244">
        <v>14.5711517216375</v>
      </c>
      <c r="D2" s="244">
        <v>13.0875688743451</v>
      </c>
      <c r="E2" s="244">
        <v>9.5940101543789797</v>
      </c>
      <c r="F2" s="244">
        <v>10.250325952765699</v>
      </c>
      <c r="G2" s="243">
        <v>7.9057626177225204</v>
      </c>
      <c r="H2" s="243">
        <v>7.9871533674518798</v>
      </c>
      <c r="I2" s="243">
        <v>7.7873391569621004</v>
      </c>
      <c r="J2" s="243">
        <v>7.0278247472558499</v>
      </c>
      <c r="K2" s="243">
        <v>8.7963222595021993</v>
      </c>
      <c r="L2" s="243">
        <v>7.6417362147513304</v>
      </c>
      <c r="M2" s="243">
        <v>12.205405688193901</v>
      </c>
      <c r="N2" s="243">
        <v>5.7936025975283902</v>
      </c>
      <c r="O2" s="243">
        <v>6.5271139772024496</v>
      </c>
      <c r="P2" s="243">
        <v>5.4490666230227598</v>
      </c>
      <c r="Q2" s="243">
        <v>6.2741537708994999</v>
      </c>
      <c r="R2" s="243">
        <v>8.8492898126298094</v>
      </c>
      <c r="S2" s="243">
        <v>8.8315688644124695</v>
      </c>
      <c r="T2" s="243">
        <v>7.5045113457487203</v>
      </c>
      <c r="U2" s="243">
        <v>6.3510267905241404</v>
      </c>
      <c r="V2" s="243">
        <v>6.6517827868979502</v>
      </c>
      <c r="W2" s="243">
        <v>5.5122264718124399</v>
      </c>
      <c r="X2" s="243">
        <v>5.9856351455896997</v>
      </c>
      <c r="Y2" s="243">
        <v>5.79552879780148</v>
      </c>
      <c r="Z2" s="243">
        <v>4.5454545454545414</v>
      </c>
      <c r="AA2" s="243">
        <v>6.3405797101449224</v>
      </c>
      <c r="AB2" s="242">
        <v>5.2725724020443065</v>
      </c>
      <c r="AC2" s="242">
        <v>4.6201148960271832</v>
      </c>
      <c r="AD2" s="242">
        <v>4.1299303944315469</v>
      </c>
      <c r="AE2" s="234"/>
      <c r="AF2" s="234"/>
      <c r="AG2" s="234"/>
      <c r="AH2" s="234"/>
    </row>
    <row r="3" spans="1:34" ht="15.75" customHeight="1" x14ac:dyDescent="0.2">
      <c r="A3" s="225">
        <f>B12</f>
        <v>2015</v>
      </c>
      <c r="B3" s="224">
        <f t="shared" ref="B3:Y3" si="0">IF(B1=$A$3,1,IF(B1&lt;$A3,C3/(1+C2/100),A3*(B2/100+1)))</f>
        <v>0.16025960579724249</v>
      </c>
      <c r="C3" s="224">
        <f t="shared" si="0"/>
        <v>0.18361127610645686</v>
      </c>
      <c r="D3" s="224">
        <f t="shared" si="0"/>
        <v>0.20764152832795335</v>
      </c>
      <c r="E3" s="224">
        <f t="shared" si="0"/>
        <v>0.22756267764044488</v>
      </c>
      <c r="F3" s="224">
        <f t="shared" si="0"/>
        <v>0.25088859384543194</v>
      </c>
      <c r="G3" s="224">
        <f t="shared" si="0"/>
        <v>0.27072325050979379</v>
      </c>
      <c r="H3" s="224">
        <f t="shared" si="0"/>
        <v>0.29234633172936197</v>
      </c>
      <c r="I3" s="224">
        <f t="shared" si="0"/>
        <v>0.31511233209406492</v>
      </c>
      <c r="J3" s="224">
        <f t="shared" si="0"/>
        <v>0.33725787455062667</v>
      </c>
      <c r="K3" s="224">
        <f t="shared" si="0"/>
        <v>0.36692416404164746</v>
      </c>
      <c r="L3" s="224">
        <f t="shared" si="0"/>
        <v>0.39496354076589157</v>
      </c>
      <c r="M3" s="224">
        <f t="shared" si="0"/>
        <v>0.44317044323682375</v>
      </c>
      <c r="N3" s="224">
        <f t="shared" si="0"/>
        <v>0.46884597754767043</v>
      </c>
      <c r="O3" s="224">
        <f t="shared" si="0"/>
        <v>0.49944808887973591</v>
      </c>
      <c r="P3" s="224">
        <f t="shared" si="0"/>
        <v>0.52666334799020664</v>
      </c>
      <c r="Q3" s="224">
        <f t="shared" si="0"/>
        <v>0.55970701629807973</v>
      </c>
      <c r="R3" s="224">
        <f t="shared" si="0"/>
        <v>0.6092371122719199</v>
      </c>
      <c r="S3" s="224">
        <f t="shared" si="0"/>
        <v>0.66304230738977243</v>
      </c>
      <c r="T3" s="224">
        <f t="shared" si="0"/>
        <v>0.71280039257495198</v>
      </c>
      <c r="U3" s="223">
        <f t="shared" si="0"/>
        <v>0.7580705364703485</v>
      </c>
      <c r="V3" s="223">
        <f t="shared" si="0"/>
        <v>0.80849574192782814</v>
      </c>
      <c r="W3" s="223">
        <f t="shared" si="0"/>
        <v>0.8530618582378503</v>
      </c>
      <c r="X3" s="241">
        <f t="shared" si="0"/>
        <v>0.90412302863815563</v>
      </c>
      <c r="Y3" s="241">
        <f t="shared" si="0"/>
        <v>0.95652173913043481</v>
      </c>
      <c r="Z3" s="241">
        <f>IF(Z1=$A$3,1,IF(Z1&lt;$A3,#REF!/(1+#REF!/100),Y3*(Z2/100+1)))</f>
        <v>1</v>
      </c>
      <c r="AA3" s="241">
        <f>IF(AA1=$A$3,1,IF(AA1&lt;$A3,#REF!/(1+#REF!/100),Z3*(AA2/100+1)))</f>
        <v>1.0634057971014492</v>
      </c>
      <c r="AB3" s="240">
        <f>IF(AB1=$A$3,1,IF(AB1&lt;$A3,#REF!/(1+#REF!/100),AA3*(AB2/100+1)))</f>
        <v>1.1194746376811595</v>
      </c>
      <c r="AC3" s="240">
        <f>IF(AC1=$A$3,1,IF(AC1&lt;$A3,#REF!/(1+#REF!/100),AB3*(AC2/100+1)))</f>
        <v>1.1711956521739131</v>
      </c>
      <c r="AD3" s="240">
        <f>IF(AD1=$A$3,1,IF(AD1&lt;$A3,#REF!/(1+#REF!/100),AC3*(AD2/100+1)))</f>
        <v>1.2195652173913043</v>
      </c>
      <c r="AE3" s="239">
        <f>1/AE4</f>
        <v>1.2594458438287153</v>
      </c>
      <c r="AF3" s="238">
        <f>1/AF4</f>
        <v>1.3020833333333333</v>
      </c>
      <c r="AG3" s="234"/>
      <c r="AH3" s="234"/>
    </row>
    <row r="4" spans="1:34" ht="15.75" customHeight="1" x14ac:dyDescent="0.2">
      <c r="A4" s="225" t="s">
        <v>589</v>
      </c>
      <c r="B4" s="224">
        <f t="shared" ref="B4:AD4" si="1">1/B3</f>
        <v>6.2398755757903315</v>
      </c>
      <c r="C4" s="224">
        <f t="shared" si="1"/>
        <v>5.4462886005988285</v>
      </c>
      <c r="D4" s="224">
        <f t="shared" si="1"/>
        <v>4.8159922923538652</v>
      </c>
      <c r="E4" s="224">
        <f t="shared" si="1"/>
        <v>4.3943937132785313</v>
      </c>
      <c r="F4" s="224">
        <f t="shared" si="1"/>
        <v>3.9858328538286698</v>
      </c>
      <c r="G4" s="224">
        <f t="shared" si="1"/>
        <v>3.6938090766748668</v>
      </c>
      <c r="H4" s="224">
        <f t="shared" si="1"/>
        <v>3.4206004709706588</v>
      </c>
      <c r="I4" s="224">
        <f t="shared" si="1"/>
        <v>3.1734714835009621</v>
      </c>
      <c r="J4" s="224">
        <f t="shared" si="1"/>
        <v>2.9650901445442375</v>
      </c>
      <c r="K4" s="224">
        <f t="shared" si="1"/>
        <v>2.7253588016255472</v>
      </c>
      <c r="L4" s="224">
        <f t="shared" si="1"/>
        <v>2.5318792667820809</v>
      </c>
      <c r="M4" s="224">
        <f t="shared" si="1"/>
        <v>2.2564681721466129</v>
      </c>
      <c r="N4" s="224">
        <f t="shared" si="1"/>
        <v>2.1328966182680409</v>
      </c>
      <c r="O4" s="224">
        <f t="shared" si="1"/>
        <v>2.0022100840209522</v>
      </c>
      <c r="P4" s="224">
        <f t="shared" si="1"/>
        <v>1.8987461417546663</v>
      </c>
      <c r="Q4" s="224">
        <f t="shared" si="1"/>
        <v>1.7866490340143175</v>
      </c>
      <c r="R4" s="224">
        <f t="shared" si="1"/>
        <v>1.6413970519144465</v>
      </c>
      <c r="S4" s="224">
        <f t="shared" si="1"/>
        <v>1.5081993846467259</v>
      </c>
      <c r="T4" s="224">
        <f t="shared" si="1"/>
        <v>1.4029172969273422</v>
      </c>
      <c r="U4" s="223">
        <f t="shared" si="1"/>
        <v>1.3191384599328964</v>
      </c>
      <c r="V4" s="223">
        <f t="shared" si="1"/>
        <v>1.2368648938280578</v>
      </c>
      <c r="W4" s="223">
        <f t="shared" si="1"/>
        <v>1.1722479329525719</v>
      </c>
      <c r="X4" s="237">
        <f t="shared" si="1"/>
        <v>1.106044164704288</v>
      </c>
      <c r="Y4" s="237">
        <f t="shared" si="1"/>
        <v>1.0454545454545454</v>
      </c>
      <c r="Z4" s="236">
        <f t="shared" si="1"/>
        <v>1</v>
      </c>
      <c r="AA4" s="236">
        <f t="shared" si="1"/>
        <v>0.94037478705281097</v>
      </c>
      <c r="AB4" s="235">
        <f t="shared" si="1"/>
        <v>0.89327615502872393</v>
      </c>
      <c r="AC4" s="235">
        <f t="shared" si="1"/>
        <v>0.85382830626450112</v>
      </c>
      <c r="AD4" s="235">
        <f t="shared" si="1"/>
        <v>0.81996434937611407</v>
      </c>
      <c r="AE4" s="234">
        <v>0.79400000000000004</v>
      </c>
      <c r="AF4" s="234">
        <v>0.76800000000000002</v>
      </c>
      <c r="AG4" s="234"/>
      <c r="AH4" s="234"/>
    </row>
    <row r="5" spans="1:34" x14ac:dyDescent="0.2">
      <c r="A5" s="179" t="s">
        <v>601</v>
      </c>
      <c r="U5" s="221"/>
      <c r="V5" s="221"/>
      <c r="W5" s="221"/>
    </row>
    <row r="6" spans="1:34" x14ac:dyDescent="0.2">
      <c r="A6" s="24" t="s">
        <v>600</v>
      </c>
      <c r="U6" s="221"/>
      <c r="V6" s="221"/>
      <c r="W6" s="221"/>
    </row>
    <row r="7" spans="1:34" x14ac:dyDescent="0.2">
      <c r="A7" s="179" t="s">
        <v>599</v>
      </c>
      <c r="U7" s="221"/>
      <c r="V7" s="221"/>
      <c r="W7" s="221"/>
    </row>
    <row r="8" spans="1:34" x14ac:dyDescent="0.2">
      <c r="U8" s="221"/>
      <c r="V8" s="221"/>
      <c r="W8" s="221"/>
    </row>
    <row r="9" spans="1:34" x14ac:dyDescent="0.2">
      <c r="A9" s="179" t="s">
        <v>598</v>
      </c>
      <c r="U9" s="221"/>
      <c r="V9" s="221"/>
      <c r="W9" s="221"/>
    </row>
    <row r="10" spans="1:34" ht="15" x14ac:dyDescent="0.25">
      <c r="B10" s="233">
        <v>2010</v>
      </c>
      <c r="C10" s="179" t="s">
        <v>596</v>
      </c>
      <c r="U10" s="221"/>
      <c r="V10" s="221"/>
      <c r="W10" s="221"/>
      <c r="AA10" s="179">
        <v>2005</v>
      </c>
    </row>
    <row r="11" spans="1:34" x14ac:dyDescent="0.2">
      <c r="A11" s="179" t="s">
        <v>597</v>
      </c>
      <c r="U11" s="221"/>
      <c r="V11" s="221"/>
      <c r="W11" s="221"/>
      <c r="AA11" s="179">
        <v>2006</v>
      </c>
    </row>
    <row r="12" spans="1:34" ht="15" x14ac:dyDescent="0.25">
      <c r="B12" s="233">
        <v>2015</v>
      </c>
      <c r="C12" s="179" t="s">
        <v>596</v>
      </c>
      <c r="U12" s="221"/>
      <c r="V12" s="221"/>
      <c r="W12" s="221"/>
      <c r="AA12" s="179">
        <v>2007</v>
      </c>
    </row>
    <row r="13" spans="1:34" x14ac:dyDescent="0.2">
      <c r="A13" s="179" t="s">
        <v>595</v>
      </c>
      <c r="U13" s="221"/>
      <c r="V13" s="221"/>
      <c r="W13" s="221"/>
      <c r="X13" s="179">
        <f>PRODUCT(P17:T17)</f>
        <v>1.1326254216924159</v>
      </c>
      <c r="AA13" s="179">
        <v>2008</v>
      </c>
    </row>
    <row r="14" spans="1:34" ht="15" x14ac:dyDescent="0.25">
      <c r="A14" s="179" t="s">
        <v>594</v>
      </c>
      <c r="B14" s="232">
        <f>1/B15</f>
        <v>1.3191384599328964</v>
      </c>
      <c r="U14" s="221"/>
      <c r="V14" s="221"/>
      <c r="W14" s="221"/>
      <c r="AA14" s="179">
        <v>2009</v>
      </c>
    </row>
    <row r="15" spans="1:34" ht="15" x14ac:dyDescent="0.25">
      <c r="A15" s="179" t="s">
        <v>593</v>
      </c>
      <c r="B15" s="231">
        <f>SUMIF($B$1:$U$1,B10,$B$3:$U$3)</f>
        <v>0.7580705364703485</v>
      </c>
      <c r="U15" s="221"/>
      <c r="V15" s="221"/>
      <c r="W15" s="221"/>
      <c r="AA15" s="179">
        <v>2010</v>
      </c>
    </row>
    <row r="16" spans="1:34" x14ac:dyDescent="0.2">
      <c r="U16" s="221"/>
      <c r="W16" s="221"/>
    </row>
    <row r="17" spans="1:25" x14ac:dyDescent="0.2">
      <c r="A17" s="179" t="s">
        <v>592</v>
      </c>
      <c r="P17" s="179">
        <f t="shared" ref="P17:U17" si="2">(1+P19/100)</f>
        <v>1.0333465966170388</v>
      </c>
      <c r="Q17" s="179">
        <f t="shared" si="2"/>
        <v>1.0325252979731299</v>
      </c>
      <c r="R17" s="179">
        <f t="shared" si="2"/>
        <v>1.0294106674465962</v>
      </c>
      <c r="S17" s="179">
        <f t="shared" si="2"/>
        <v>1.0217815161638351</v>
      </c>
      <c r="T17" s="179">
        <f t="shared" si="2"/>
        <v>1.0092363494772816</v>
      </c>
      <c r="U17" s="179">
        <f t="shared" si="2"/>
        <v>1.0115232634848643</v>
      </c>
      <c r="V17" s="221">
        <f>V20/U20</f>
        <v>1.0273128343245979</v>
      </c>
      <c r="W17" s="221"/>
    </row>
    <row r="18" spans="1:25" ht="15.75" customHeight="1" x14ac:dyDescent="0.2">
      <c r="A18" s="220" t="s">
        <v>587</v>
      </c>
      <c r="B18" s="220">
        <v>1991</v>
      </c>
      <c r="C18" s="220">
        <v>1992</v>
      </c>
      <c r="D18" s="220">
        <v>1993</v>
      </c>
      <c r="E18" s="220">
        <v>1994</v>
      </c>
      <c r="F18" s="220">
        <v>1995</v>
      </c>
      <c r="G18" s="220">
        <v>1996</v>
      </c>
      <c r="H18" s="220">
        <v>1997</v>
      </c>
      <c r="I18" s="220">
        <v>1998</v>
      </c>
      <c r="J18" s="220">
        <v>1999</v>
      </c>
      <c r="K18" s="220">
        <v>2000</v>
      </c>
      <c r="L18" s="220">
        <v>2001</v>
      </c>
      <c r="M18" s="220">
        <v>2002</v>
      </c>
      <c r="N18" s="220">
        <v>2003</v>
      </c>
      <c r="O18" s="220">
        <v>2004</v>
      </c>
      <c r="P18" s="220">
        <v>2005</v>
      </c>
      <c r="Q18" s="220">
        <v>2006</v>
      </c>
      <c r="R18" s="220">
        <v>2007</v>
      </c>
      <c r="S18" s="220">
        <v>2008</v>
      </c>
      <c r="T18" s="220">
        <v>2009</v>
      </c>
      <c r="U18" s="219">
        <v>2010</v>
      </c>
      <c r="V18" s="219">
        <v>2011</v>
      </c>
      <c r="W18" s="219">
        <v>2012</v>
      </c>
      <c r="X18" s="179">
        <v>2013</v>
      </c>
      <c r="Y18" s="179">
        <v>2014</v>
      </c>
    </row>
    <row r="19" spans="1:25" ht="15.75" customHeight="1" x14ac:dyDescent="0.2">
      <c r="A19" s="218" t="s">
        <v>591</v>
      </c>
      <c r="B19" s="217">
        <v>3.3994252378249699</v>
      </c>
      <c r="C19" s="217">
        <v>2.1054788150436798</v>
      </c>
      <c r="D19" s="217">
        <v>2.1924332890308</v>
      </c>
      <c r="E19" s="217">
        <v>2.0360309460728101</v>
      </c>
      <c r="F19" s="217">
        <v>2.3263787079223999</v>
      </c>
      <c r="G19" s="217">
        <v>1.7717629484628601</v>
      </c>
      <c r="H19" s="217">
        <v>1.9273567571815799</v>
      </c>
      <c r="I19" s="217">
        <v>1.4055393887866201</v>
      </c>
      <c r="J19" s="217">
        <v>1.46557115641922</v>
      </c>
      <c r="K19" s="217">
        <v>2.1635805504784602</v>
      </c>
      <c r="L19" s="217">
        <v>2.2671398465768702</v>
      </c>
      <c r="M19" s="217">
        <v>1.6245670393856999</v>
      </c>
      <c r="N19" s="217">
        <v>2.1553754412521502</v>
      </c>
      <c r="O19" s="217">
        <v>2.8345692622040302</v>
      </c>
      <c r="P19" s="217">
        <v>3.33465966170388</v>
      </c>
      <c r="Q19" s="217">
        <v>3.2525297973129899</v>
      </c>
      <c r="R19" s="217">
        <v>2.9410667446596199</v>
      </c>
      <c r="S19" s="217">
        <v>2.1781516163835</v>
      </c>
      <c r="T19" s="217">
        <v>0.92363494772816102</v>
      </c>
      <c r="U19" s="227">
        <v>1.1523263484864299</v>
      </c>
      <c r="V19" s="227">
        <v>2.7312834324597901</v>
      </c>
      <c r="W19" s="226">
        <v>2.7312834324597901</v>
      </c>
      <c r="X19" s="230">
        <f>W19</f>
        <v>2.7312834324597901</v>
      </c>
      <c r="Y19" s="230">
        <f>X19</f>
        <v>2.7312834324597901</v>
      </c>
    </row>
    <row r="20" spans="1:25" x14ac:dyDescent="0.2">
      <c r="A20" s="225">
        <v>2010</v>
      </c>
      <c r="B20" s="224">
        <f t="shared" ref="B20:Y20" si="3">IF(B18=$A$20,1,IF(B18&lt;$A20,C20/(1+C19/100),A20*(B19/100+1)))</f>
        <v>0.67297533398349141</v>
      </c>
      <c r="C20" s="224">
        <f t="shared" si="3"/>
        <v>0.68714468707098331</v>
      </c>
      <c r="D20" s="224">
        <f t="shared" si="3"/>
        <v>0.70220987593413409</v>
      </c>
      <c r="E20" s="224">
        <f t="shared" si="3"/>
        <v>0.71650708631453253</v>
      </c>
      <c r="F20" s="224">
        <f t="shared" si="3"/>
        <v>0.73317575461130902</v>
      </c>
      <c r="G20" s="224">
        <f t="shared" si="3"/>
        <v>0.74616589097862518</v>
      </c>
      <c r="H20" s="224">
        <f t="shared" si="3"/>
        <v>0.76054716969818592</v>
      </c>
      <c r="I20" s="224">
        <f t="shared" si="3"/>
        <v>0.77123695973859574</v>
      </c>
      <c r="J20" s="224">
        <f t="shared" si="3"/>
        <v>0.782539986168169</v>
      </c>
      <c r="K20" s="224">
        <f t="shared" si="3"/>
        <v>0.79947086910862031</v>
      </c>
      <c r="L20" s="224">
        <f t="shared" si="3"/>
        <v>0.81759599174395625</v>
      </c>
      <c r="M20" s="224">
        <f t="shared" si="3"/>
        <v>0.8308783867411671</v>
      </c>
      <c r="N20" s="224">
        <f t="shared" si="3"/>
        <v>0.84878693543565831</v>
      </c>
      <c r="O20" s="224">
        <f t="shared" si="3"/>
        <v>0.87284638900912104</v>
      </c>
      <c r="P20" s="224">
        <f t="shared" si="3"/>
        <v>0.90195284545204713</v>
      </c>
      <c r="Q20" s="229">
        <f t="shared" si="3"/>
        <v>0.93128913050808726</v>
      </c>
      <c r="R20" s="224">
        <f t="shared" si="3"/>
        <v>0.9586789654220903</v>
      </c>
      <c r="S20" s="224">
        <f t="shared" si="3"/>
        <v>0.97956044680336019</v>
      </c>
      <c r="T20" s="224">
        <f t="shared" si="3"/>
        <v>0.98860800942415816</v>
      </c>
      <c r="U20" s="223">
        <f t="shared" si="3"/>
        <v>1</v>
      </c>
      <c r="V20" s="223">
        <f t="shared" si="3"/>
        <v>1.0273128343245979</v>
      </c>
      <c r="W20" s="223">
        <f t="shared" si="3"/>
        <v>1.0553716595680387</v>
      </c>
      <c r="X20" s="228">
        <f t="shared" si="3"/>
        <v>1.0841968508566964</v>
      </c>
      <c r="Y20" s="228">
        <f t="shared" si="3"/>
        <v>1.113809339819396</v>
      </c>
    </row>
    <row r="21" spans="1:25" x14ac:dyDescent="0.2">
      <c r="A21" s="225" t="s">
        <v>589</v>
      </c>
      <c r="B21" s="224">
        <f t="shared" ref="B21:Y21" si="4">1/B20</f>
        <v>1.4859385619392267</v>
      </c>
      <c r="C21" s="224">
        <f t="shared" si="4"/>
        <v>1.4552975797027419</v>
      </c>
      <c r="D21" s="224">
        <f t="shared" si="4"/>
        <v>1.424075670638671</v>
      </c>
      <c r="E21" s="224">
        <f t="shared" si="4"/>
        <v>1.395659609095645</v>
      </c>
      <c r="F21" s="224">
        <f t="shared" si="4"/>
        <v>1.3639294448984434</v>
      </c>
      <c r="G21" s="224">
        <f t="shared" si="4"/>
        <v>1.3401845515726558</v>
      </c>
      <c r="H21" s="224">
        <f t="shared" si="4"/>
        <v>1.314842839263787</v>
      </c>
      <c r="I21" s="224">
        <f t="shared" si="4"/>
        <v>1.2966183575265138</v>
      </c>
      <c r="J21" s="224">
        <f t="shared" si="4"/>
        <v>1.2778899707050861</v>
      </c>
      <c r="K21" s="224">
        <f t="shared" si="4"/>
        <v>1.2508273142146655</v>
      </c>
      <c r="L21" s="224">
        <f t="shared" si="4"/>
        <v>1.2230979727126239</v>
      </c>
      <c r="M21" s="224">
        <f t="shared" si="4"/>
        <v>1.2035455681091356</v>
      </c>
      <c r="N21" s="224">
        <f t="shared" si="4"/>
        <v>1.1781519698895087</v>
      </c>
      <c r="O21" s="224">
        <f t="shared" si="4"/>
        <v>1.1456769628562331</v>
      </c>
      <c r="P21" s="224">
        <f t="shared" si="4"/>
        <v>1.1087054107566043</v>
      </c>
      <c r="Q21" s="224">
        <f t="shared" si="4"/>
        <v>1.0737803838153097</v>
      </c>
      <c r="R21" s="224">
        <f t="shared" si="4"/>
        <v>1.0431020561296207</v>
      </c>
      <c r="S21" s="224">
        <f t="shared" si="4"/>
        <v>1.020866045850811</v>
      </c>
      <c r="T21" s="224">
        <f t="shared" si="4"/>
        <v>1.0115232634848643</v>
      </c>
      <c r="U21" s="223">
        <f t="shared" si="4"/>
        <v>1</v>
      </c>
      <c r="V21" s="223">
        <f t="shared" si="4"/>
        <v>0.97341332317477125</v>
      </c>
      <c r="W21" s="223">
        <f t="shared" si="4"/>
        <v>0.94753349773415163</v>
      </c>
      <c r="X21" s="223">
        <f t="shared" si="4"/>
        <v>0.9223417308488151</v>
      </c>
      <c r="Y21" s="223">
        <f t="shared" si="4"/>
        <v>0.89781972932831555</v>
      </c>
    </row>
    <row r="22" spans="1:25" x14ac:dyDescent="0.2">
      <c r="U22" s="221"/>
      <c r="V22" s="221"/>
      <c r="W22" s="221"/>
    </row>
    <row r="23" spans="1:25" x14ac:dyDescent="0.2">
      <c r="A23" s="222" t="s">
        <v>590</v>
      </c>
      <c r="U23" s="221"/>
      <c r="V23" s="221"/>
      <c r="W23" s="221"/>
    </row>
    <row r="24" spans="1:25" ht="15.75" customHeight="1" x14ac:dyDescent="0.2">
      <c r="A24" s="220" t="s">
        <v>587</v>
      </c>
      <c r="B24" s="220">
        <v>1991</v>
      </c>
      <c r="C24" s="220">
        <v>1992</v>
      </c>
      <c r="D24" s="220">
        <v>1993</v>
      </c>
      <c r="E24" s="220">
        <v>1994</v>
      </c>
      <c r="F24" s="220">
        <v>1995</v>
      </c>
      <c r="G24" s="220">
        <v>1996</v>
      </c>
      <c r="H24" s="220">
        <v>1997</v>
      </c>
      <c r="I24" s="220">
        <v>1998</v>
      </c>
      <c r="J24" s="220">
        <v>1999</v>
      </c>
      <c r="K24" s="220">
        <v>2000</v>
      </c>
      <c r="L24" s="220">
        <v>2001</v>
      </c>
      <c r="M24" s="220">
        <v>2002</v>
      </c>
      <c r="N24" s="220">
        <v>2003</v>
      </c>
      <c r="O24" s="220">
        <v>2004</v>
      </c>
      <c r="P24" s="220">
        <v>2005</v>
      </c>
      <c r="Q24" s="220">
        <v>2006</v>
      </c>
      <c r="R24" s="220">
        <v>2007</v>
      </c>
      <c r="S24" s="220">
        <v>2008</v>
      </c>
      <c r="T24" s="220">
        <v>2009</v>
      </c>
      <c r="U24" s="219">
        <v>2010</v>
      </c>
      <c r="V24" s="219">
        <v>2011</v>
      </c>
      <c r="W24" s="219">
        <v>2012</v>
      </c>
    </row>
    <row r="25" spans="1:25" ht="15.75" customHeight="1" x14ac:dyDescent="0.2">
      <c r="A25" s="218" t="s">
        <v>574</v>
      </c>
      <c r="B25" s="217">
        <v>2.7613150000000002</v>
      </c>
      <c r="C25" s="217">
        <v>2.8520141666666698</v>
      </c>
      <c r="D25" s="217">
        <v>3.2677415833333301</v>
      </c>
      <c r="E25" s="217">
        <v>3.5507983333333302</v>
      </c>
      <c r="F25" s="217">
        <v>3.6270850000000001</v>
      </c>
      <c r="G25" s="217">
        <v>4.2993491666666701</v>
      </c>
      <c r="H25" s="217">
        <v>4.6079616666666698</v>
      </c>
      <c r="I25" s="217">
        <v>5.52828416666667</v>
      </c>
      <c r="J25" s="217">
        <v>6.1094841666666699</v>
      </c>
      <c r="K25" s="217">
        <v>6.9398283333333302</v>
      </c>
      <c r="L25" s="217">
        <v>8.6091808333333297</v>
      </c>
      <c r="M25" s="217">
        <v>10.540746666666699</v>
      </c>
      <c r="N25" s="217">
        <v>7.5647491666666697</v>
      </c>
      <c r="O25" s="217">
        <v>6.4596925000000001</v>
      </c>
      <c r="P25" s="217">
        <v>6.3593283333333304</v>
      </c>
      <c r="Q25" s="217">
        <v>6.7715491666666701</v>
      </c>
      <c r="R25" s="217">
        <v>7.0453650000000003</v>
      </c>
      <c r="S25" s="217">
        <v>8.26122333333333</v>
      </c>
      <c r="T25" s="217">
        <v>8.4736741582488797</v>
      </c>
      <c r="U25" s="216">
        <v>7.3212219611528804</v>
      </c>
      <c r="V25" s="227">
        <v>7.2611321323273499</v>
      </c>
      <c r="W25" s="226">
        <v>8.5</v>
      </c>
    </row>
    <row r="26" spans="1:25" x14ac:dyDescent="0.2">
      <c r="A26" s="225">
        <v>2005</v>
      </c>
      <c r="B26" s="224">
        <f t="shared" ref="B26:W26" si="5">IF(B24=$A$26,1,IF(B24&lt;$A26,C26/(1+C25/100),A26*(B25/100+1)))</f>
        <v>0.45926906270745477</v>
      </c>
      <c r="C26" s="224">
        <f t="shared" si="5"/>
        <v>0.4723674814389886</v>
      </c>
      <c r="D26" s="224">
        <f t="shared" si="5"/>
        <v>0.48780323005611481</v>
      </c>
      <c r="E26" s="224">
        <f t="shared" si="5"/>
        <v>0.50512413901889353</v>
      </c>
      <c r="F26" s="224">
        <f t="shared" si="5"/>
        <v>0.52344542089662693</v>
      </c>
      <c r="G26" s="224">
        <f t="shared" si="5"/>
        <v>0.54595016723790091</v>
      </c>
      <c r="H26" s="224">
        <f t="shared" si="5"/>
        <v>0.57110734166332588</v>
      </c>
      <c r="I26" s="224">
        <f t="shared" si="5"/>
        <v>0.60267977840717046</v>
      </c>
      <c r="J26" s="224">
        <f t="shared" si="5"/>
        <v>0.63950040404465835</v>
      </c>
      <c r="K26" s="224">
        <f t="shared" si="5"/>
        <v>0.68388063427633072</v>
      </c>
      <c r="L26" s="224">
        <f t="shared" si="5"/>
        <v>0.742757154765327</v>
      </c>
      <c r="M26" s="224">
        <f t="shared" si="5"/>
        <v>0.82104930479768157</v>
      </c>
      <c r="N26" s="224">
        <f t="shared" si="5"/>
        <v>0.88315962524028668</v>
      </c>
      <c r="O26" s="224">
        <f t="shared" si="5"/>
        <v>0.94020902131496165</v>
      </c>
      <c r="P26" s="224">
        <f t="shared" si="5"/>
        <v>1</v>
      </c>
      <c r="Q26" s="224">
        <f t="shared" si="5"/>
        <v>1.0677154916666667</v>
      </c>
      <c r="R26" s="224">
        <f t="shared" si="5"/>
        <v>1.142939945216128</v>
      </c>
      <c r="S26" s="224">
        <f t="shared" si="5"/>
        <v>1.2373607666563098</v>
      </c>
      <c r="T26" s="224">
        <f t="shared" si="5"/>
        <v>1.3422106861847758</v>
      </c>
      <c r="U26" s="223">
        <f t="shared" si="5"/>
        <v>1.4404769097066763</v>
      </c>
      <c r="V26" s="223">
        <f t="shared" si="5"/>
        <v>1.5450718414561437</v>
      </c>
      <c r="W26" s="223">
        <f t="shared" si="5"/>
        <v>1.6764029479799158</v>
      </c>
    </row>
    <row r="27" spans="1:25" x14ac:dyDescent="0.2">
      <c r="A27" s="225" t="s">
        <v>589</v>
      </c>
      <c r="B27" s="224">
        <f t="shared" ref="B27:W27" si="6">1/B26</f>
        <v>2.1773728761629654</v>
      </c>
      <c r="C27" s="224">
        <f t="shared" si="6"/>
        <v>2.1169958544852983</v>
      </c>
      <c r="D27" s="224">
        <f t="shared" si="6"/>
        <v>2.0500069257125753</v>
      </c>
      <c r="E27" s="224">
        <f t="shared" si="6"/>
        <v>1.9797113674715836</v>
      </c>
      <c r="F27" s="224">
        <f t="shared" si="6"/>
        <v>1.9104188518586465</v>
      </c>
      <c r="G27" s="224">
        <f t="shared" si="6"/>
        <v>1.8316690057249205</v>
      </c>
      <c r="H27" s="224">
        <f t="shared" si="6"/>
        <v>1.7509843194933241</v>
      </c>
      <c r="I27" s="224">
        <f t="shared" si="6"/>
        <v>1.6592559362832977</v>
      </c>
      <c r="J27" s="224">
        <f t="shared" si="6"/>
        <v>1.563720669565311</v>
      </c>
      <c r="K27" s="224">
        <f t="shared" si="6"/>
        <v>1.4622434820927204</v>
      </c>
      <c r="L27" s="224">
        <f t="shared" si="6"/>
        <v>1.3463350619839516</v>
      </c>
      <c r="M27" s="224">
        <f t="shared" si="6"/>
        <v>1.2179536529129813</v>
      </c>
      <c r="N27" s="224">
        <f t="shared" si="6"/>
        <v>1.1322981388873203</v>
      </c>
      <c r="O27" s="224">
        <f t="shared" si="6"/>
        <v>1.0635932833333333</v>
      </c>
      <c r="P27" s="224">
        <f t="shared" si="6"/>
        <v>1</v>
      </c>
      <c r="Q27" s="224">
        <f t="shared" si="6"/>
        <v>0.93657908666196721</v>
      </c>
      <c r="R27" s="224">
        <f t="shared" si="6"/>
        <v>0.87493660903670811</v>
      </c>
      <c r="S27" s="224">
        <f t="shared" si="6"/>
        <v>0.80817173693188604</v>
      </c>
      <c r="T27" s="224">
        <f t="shared" si="6"/>
        <v>0.74503951599617557</v>
      </c>
      <c r="U27" s="223">
        <f t="shared" si="6"/>
        <v>0.69421452941139439</v>
      </c>
      <c r="V27" s="223">
        <f t="shared" si="6"/>
        <v>0.64721909568784575</v>
      </c>
      <c r="W27" s="223">
        <f t="shared" si="6"/>
        <v>0.59651529556483485</v>
      </c>
    </row>
    <row r="28" spans="1:25" x14ac:dyDescent="0.2">
      <c r="U28" s="221"/>
      <c r="V28" s="221"/>
      <c r="W28" s="221"/>
    </row>
    <row r="29" spans="1:25" x14ac:dyDescent="0.2">
      <c r="A29" s="222" t="s">
        <v>588</v>
      </c>
      <c r="U29" s="221"/>
      <c r="V29" s="221"/>
      <c r="W29" s="221"/>
    </row>
    <row r="30" spans="1:25" ht="15.75" customHeight="1" x14ac:dyDescent="0.2">
      <c r="A30" s="220" t="s">
        <v>587</v>
      </c>
      <c r="B30" s="220">
        <v>1991</v>
      </c>
      <c r="C30" s="220">
        <v>1992</v>
      </c>
      <c r="D30" s="220">
        <v>1993</v>
      </c>
      <c r="E30" s="220">
        <v>1994</v>
      </c>
      <c r="F30" s="220">
        <v>1995</v>
      </c>
      <c r="G30" s="220">
        <v>1996</v>
      </c>
      <c r="H30" s="220">
        <v>1997</v>
      </c>
      <c r="I30" s="220">
        <v>1998</v>
      </c>
      <c r="J30" s="220">
        <v>1999</v>
      </c>
      <c r="K30" s="220">
        <v>2000</v>
      </c>
      <c r="L30" s="220">
        <v>2001</v>
      </c>
      <c r="M30" s="220">
        <v>2002</v>
      </c>
      <c r="N30" s="220">
        <v>2003</v>
      </c>
      <c r="O30" s="220">
        <v>2004</v>
      </c>
      <c r="P30" s="220">
        <v>2005</v>
      </c>
      <c r="Q30" s="220">
        <v>2006</v>
      </c>
      <c r="R30" s="220">
        <v>2007</v>
      </c>
      <c r="S30" s="220">
        <v>2008</v>
      </c>
      <c r="T30" s="220">
        <v>2009</v>
      </c>
      <c r="U30" s="219">
        <v>2010</v>
      </c>
      <c r="V30" s="219">
        <v>2011</v>
      </c>
      <c r="W30" s="219">
        <v>2012</v>
      </c>
    </row>
    <row r="31" spans="1:25" ht="15.75" customHeight="1" x14ac:dyDescent="0.2">
      <c r="A31" s="218" t="s">
        <v>574</v>
      </c>
      <c r="B31" s="217">
        <v>120.919166666666</v>
      </c>
      <c r="C31" s="217">
        <v>124.9175</v>
      </c>
      <c r="D31" s="217">
        <v>122.595</v>
      </c>
      <c r="E31" s="217">
        <v>117.354166666667</v>
      </c>
      <c r="F31" s="217">
        <v>114.07250000000001</v>
      </c>
      <c r="G31" s="217">
        <v>105.07</v>
      </c>
      <c r="H31" s="217">
        <v>110.886666666667</v>
      </c>
      <c r="I31" s="217">
        <v>101.948333333333</v>
      </c>
      <c r="J31" s="217">
        <v>96.432500000000005</v>
      </c>
      <c r="K31" s="217">
        <v>93.360833333333304</v>
      </c>
      <c r="L31" s="217">
        <v>82.358333333333306</v>
      </c>
      <c r="M31" s="217">
        <v>70.561666666666696</v>
      </c>
      <c r="N31" s="217">
        <v>91.406666666666695</v>
      </c>
      <c r="O31" s="217">
        <v>99.689166666666793</v>
      </c>
      <c r="P31" s="217">
        <v>100</v>
      </c>
      <c r="Q31" s="217">
        <v>96.115833333333299</v>
      </c>
      <c r="R31" s="217">
        <v>90.378333333333302</v>
      </c>
      <c r="S31" s="217">
        <v>80.405000000000001</v>
      </c>
      <c r="T31" s="217">
        <v>87.792500000000004</v>
      </c>
      <c r="U31" s="216">
        <v>101.2</v>
      </c>
      <c r="V31" s="216">
        <v>99.1</v>
      </c>
      <c r="W31" s="216"/>
    </row>
    <row r="32" spans="1:25" ht="13.5" thickBot="1" x14ac:dyDescent="0.25"/>
    <row r="33" spans="1:6" ht="13.5" thickBot="1" x14ac:dyDescent="0.25">
      <c r="A33" s="179" t="s">
        <v>586</v>
      </c>
      <c r="F33" s="215">
        <f>[3]PRI!E51</f>
        <v>11.914999999999999</v>
      </c>
    </row>
  </sheetData>
  <hyperlinks>
    <hyperlink ref="A6" r:id="rId1" xr:uid="{6310E0D4-CC97-47D0-B3B3-1458F9DFD741}"/>
  </hyperlinks>
  <pageMargins left="0.75" right="0.75" top="1" bottom="1" header="0.5" footer="0.5"/>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About</vt:lpstr>
      <vt:lpstr>Definitions</vt:lpstr>
      <vt:lpstr>Fossil Hydrogen production</vt:lpstr>
      <vt:lpstr>Electrolysers</vt:lpstr>
      <vt:lpstr>Hydrogen-Other</vt:lpstr>
      <vt:lpstr>UK TIMES HGN inputs</vt:lpstr>
      <vt:lpstr>Ahjum HGN storage sheet</vt:lpstr>
      <vt:lpstr>Ahjum HGN sheet</vt:lpstr>
      <vt:lpstr>Deflator</vt:lpstr>
      <vt:lpstr>Evaluate</vt:lpstr>
      <vt:lpstr>H2.LHV.MJ_kg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Olex</dc:creator>
  <cp:lastModifiedBy>Bryce Mc Call</cp:lastModifiedBy>
  <dcterms:created xsi:type="dcterms:W3CDTF">2020-12-10T22:20:56Z</dcterms:created>
  <dcterms:modified xsi:type="dcterms:W3CDTF">2024-09-05T10:47:47Z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988966882228851</vt:r8>
  </property>
</Properties>
</file>