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202300"/>
  <mc:AlternateContent xmlns:mc="http://schemas.openxmlformats.org/markup-compatibility/2006">
    <mc:Choice Requires="x15">
      <x15ac:absPath xmlns:x15ac="http://schemas.microsoft.com/office/spreadsheetml/2010/11/ac" url="C:\Models\SATIMGE_Veda\SubRes_TMPL\"/>
    </mc:Choice>
  </mc:AlternateContent>
  <xr:revisionPtr revIDLastSave="0" documentId="13_ncr:1_{129E43A0-3849-4CCA-86C0-E355C0C49EF9}" xr6:coauthVersionLast="47" xr6:coauthVersionMax="47" xr10:uidLastSave="{00000000-0000-0000-0000-000000000000}"/>
  <bookViews>
    <workbookView xWindow="2865" yWindow="2190" windowWidth="32400" windowHeight="18615" activeTab="1" xr2:uid="{9924EB03-D146-47F3-A886-D642F526CB4A}"/>
  </bookViews>
  <sheets>
    <sheet name="RES" sheetId="3" r:id="rId1"/>
    <sheet name="Definitions" sheetId="4" r:id="rId2"/>
    <sheet name="GQLFG process" sheetId="5" r:id="rId3"/>
    <sheet name="H2 Storage" sheetId="6" r:id="rId4"/>
    <sheet name="CO2 storage" sheetId="7" r:id="rId5"/>
    <sheet name="Summary mass flow of process" sheetId="8" r:id="rId6"/>
    <sheet name="Electricity duties" sheetId="9" r:id="rId7"/>
    <sheet name="Sheet1" sheetId="10" r:id="rId8"/>
    <sheet name="GQLFG process older" sheetId="11" r:id="rId9"/>
    <sheet name="Old Case 4a" sheetId="12" r:id="rId10"/>
    <sheet name="Flow rate" sheetId="13" r:id="rId11"/>
  </sheets>
  <externalReferences>
    <externalReference r:id="rId12"/>
    <externalReference r:id="rId13"/>
  </externalReferences>
  <definedNames>
    <definedName name="_xlnm.Print_Titles" localSheetId="10">'Flow rate'!$A:$B</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71" i="5" l="1"/>
  <c r="E98" i="5"/>
  <c r="D98" i="5"/>
  <c r="C98" i="5"/>
  <c r="B98" i="5"/>
  <c r="D71" i="5"/>
  <c r="D25" i="6"/>
  <c r="C25" i="6"/>
  <c r="B25" i="6"/>
  <c r="C17" i="7"/>
  <c r="E35" i="5"/>
  <c r="D35" i="5" s="1"/>
  <c r="D40" i="5" s="1"/>
  <c r="C35" i="5"/>
  <c r="C40" i="5"/>
  <c r="F75" i="5"/>
  <c r="C27" i="4"/>
  <c r="B27" i="4"/>
  <c r="J100" i="13"/>
  <c r="J99" i="13"/>
  <c r="J98" i="13"/>
  <c r="J97" i="13"/>
  <c r="J96" i="13"/>
  <c r="J95" i="13"/>
  <c r="J94" i="13"/>
  <c r="J93" i="13"/>
  <c r="J92" i="13"/>
  <c r="J91" i="13"/>
  <c r="J90" i="13"/>
  <c r="J89" i="13"/>
  <c r="J88" i="13"/>
  <c r="J87" i="13"/>
  <c r="J86" i="13"/>
  <c r="J85" i="13"/>
  <c r="J84" i="13"/>
  <c r="J83" i="13"/>
  <c r="J82" i="13"/>
  <c r="J81" i="13"/>
  <c r="J80" i="13"/>
  <c r="J79" i="13"/>
  <c r="J78" i="13"/>
  <c r="J77" i="13"/>
  <c r="J76" i="13"/>
  <c r="J75" i="13"/>
  <c r="J74" i="13"/>
  <c r="J73" i="13"/>
  <c r="J72" i="13"/>
  <c r="J69" i="13"/>
  <c r="J68" i="13"/>
  <c r="J67" i="13"/>
  <c r="J66" i="13"/>
  <c r="J65" i="13"/>
  <c r="J64" i="13"/>
  <c r="J63" i="13"/>
  <c r="J61" i="13"/>
  <c r="J60" i="13"/>
  <c r="J59" i="13"/>
  <c r="J58" i="13"/>
  <c r="J57" i="13"/>
  <c r="J55" i="13"/>
  <c r="J54" i="13"/>
  <c r="J53" i="13"/>
  <c r="J52" i="13"/>
  <c r="J51" i="13"/>
  <c r="J50" i="13"/>
  <c r="J49" i="13"/>
  <c r="J48" i="13"/>
  <c r="J47" i="13"/>
  <c r="J46" i="13"/>
  <c r="J45" i="13"/>
  <c r="J44" i="13"/>
  <c r="J43" i="13"/>
  <c r="J42" i="13"/>
  <c r="J41" i="13"/>
  <c r="J40" i="13"/>
  <c r="J62" i="13" s="1"/>
  <c r="J39" i="13"/>
  <c r="J38" i="13"/>
  <c r="J37" i="13"/>
  <c r="J36" i="13"/>
  <c r="J35" i="13"/>
  <c r="J33" i="13"/>
  <c r="J32" i="13"/>
  <c r="J31" i="13"/>
  <c r="J30" i="13"/>
  <c r="J29" i="13"/>
  <c r="J28" i="13"/>
  <c r="J27" i="13"/>
  <c r="J25" i="13"/>
  <c r="J24" i="13"/>
  <c r="J23" i="13"/>
  <c r="J22" i="13"/>
  <c r="J21" i="13"/>
  <c r="J20" i="13"/>
  <c r="J19" i="13"/>
  <c r="J18" i="13"/>
  <c r="J17" i="13"/>
  <c r="J16" i="13"/>
  <c r="J15" i="13"/>
  <c r="J14" i="13"/>
  <c r="J13" i="13"/>
  <c r="J12" i="13"/>
  <c r="J34" i="13" s="1"/>
  <c r="BV2" i="13"/>
  <c r="BS2" i="13"/>
  <c r="BM2" i="13"/>
  <c r="BJ2" i="13"/>
  <c r="BI2" i="13"/>
  <c r="AY2" i="13"/>
  <c r="AV2" i="13"/>
  <c r="AK2" i="13"/>
  <c r="AH2" i="13"/>
  <c r="AG2" i="13"/>
  <c r="W2" i="13"/>
  <c r="V2" i="13"/>
  <c r="U2" i="13"/>
  <c r="T2" i="13"/>
  <c r="S2" i="13"/>
  <c r="Q2" i="13"/>
  <c r="P2" i="13"/>
  <c r="O2" i="13"/>
  <c r="N2" i="13"/>
  <c r="M2" i="13"/>
  <c r="C86" i="12"/>
  <c r="C82" i="12"/>
  <c r="C83" i="12" s="1"/>
  <c r="C84" i="12" s="1"/>
  <c r="C79" i="12"/>
  <c r="C71" i="12"/>
  <c r="C50" i="12"/>
  <c r="C51" i="12" s="1"/>
  <c r="C46" i="12"/>
  <c r="C41" i="12"/>
  <c r="C43" i="12" s="1"/>
  <c r="C52" i="12" s="1"/>
  <c r="C53" i="12" s="1"/>
  <c r="C54" i="12" s="1"/>
  <c r="I29" i="12"/>
  <c r="I28" i="12"/>
  <c r="I25" i="12"/>
  <c r="I20" i="12"/>
  <c r="I21" i="12" s="1"/>
  <c r="C16" i="12"/>
  <c r="C17" i="12" s="1"/>
  <c r="C19" i="12" s="1"/>
  <c r="C12" i="12"/>
  <c r="C8" i="12"/>
  <c r="C88" i="5"/>
  <c r="C87" i="5"/>
  <c r="C86" i="5"/>
  <c r="L49" i="11"/>
  <c r="K49" i="11"/>
  <c r="G50" i="11"/>
  <c r="H49" i="11"/>
  <c r="H50" i="11" s="1"/>
  <c r="C51" i="6"/>
  <c r="B51" i="6"/>
  <c r="E52" i="6"/>
  <c r="D51" i="6"/>
  <c r="J50" i="11"/>
  <c r="E50" i="11"/>
  <c r="E44" i="11"/>
  <c r="I34" i="11"/>
  <c r="I33" i="11"/>
  <c r="K32" i="11"/>
  <c r="G32" i="11"/>
  <c r="F32" i="11"/>
  <c r="E32" i="11"/>
  <c r="K31" i="11"/>
  <c r="G31" i="11"/>
  <c r="F31" i="11"/>
  <c r="E31" i="11"/>
  <c r="K30" i="11"/>
  <c r="G30" i="11"/>
  <c r="F30" i="11"/>
  <c r="E30" i="11"/>
  <c r="K29" i="11"/>
  <c r="K33" i="11" s="1"/>
  <c r="H33" i="11" s="1"/>
  <c r="G29" i="11"/>
  <c r="G33" i="11" s="1"/>
  <c r="F38" i="11" s="1"/>
  <c r="F29" i="11"/>
  <c r="F33" i="11" s="1"/>
  <c r="F23" i="11" s="1"/>
  <c r="E29" i="11"/>
  <c r="E33" i="11" s="1"/>
  <c r="D50" i="11" s="1"/>
  <c r="K50" i="11" s="1"/>
  <c r="K25" i="11"/>
  <c r="K26" i="11" s="1"/>
  <c r="K27" i="11" s="1"/>
  <c r="F25" i="11"/>
  <c r="E25" i="11"/>
  <c r="F24" i="11"/>
  <c r="E24" i="11"/>
  <c r="B80" i="5"/>
  <c r="D17" i="7"/>
  <c r="C26" i="4"/>
  <c r="B26" i="4"/>
  <c r="D73" i="5"/>
  <c r="J10" i="13" l="1"/>
  <c r="J70" i="13" s="1"/>
  <c r="J56" i="13"/>
  <c r="J11" i="13" s="1"/>
  <c r="J71" i="13" s="1"/>
  <c r="I49" i="11"/>
  <c r="I50" i="11" s="1"/>
  <c r="C72" i="12"/>
  <c r="C20" i="12"/>
  <c r="C23" i="12" s="1"/>
  <c r="C21" i="12"/>
  <c r="C73" i="12"/>
  <c r="C74" i="12" s="1"/>
  <c r="C89" i="12"/>
  <c r="C91" i="12" s="1"/>
  <c r="C94" i="12" s="1"/>
  <c r="C26" i="12"/>
  <c r="C27" i="12" s="1"/>
  <c r="C13" i="12"/>
  <c r="I60" i="12"/>
  <c r="I61" i="12" s="1"/>
  <c r="C57" i="12"/>
  <c r="C29" i="12"/>
  <c r="C30" i="12" s="1"/>
  <c r="F39" i="11"/>
  <c r="G39" i="11" s="1"/>
  <c r="G38" i="11"/>
  <c r="E23" i="11"/>
  <c r="G23" i="11" s="1"/>
  <c r="F40" i="11"/>
  <c r="G40" i="11" s="1"/>
  <c r="D72" i="5"/>
  <c r="C71" i="5"/>
  <c r="B71" i="5"/>
  <c r="C14" i="4"/>
  <c r="C13" i="4"/>
  <c r="C12" i="4"/>
  <c r="C11" i="4"/>
  <c r="B14" i="4"/>
  <c r="B13" i="4"/>
  <c r="B12" i="4"/>
  <c r="B11" i="4"/>
  <c r="C25" i="4"/>
  <c r="C24" i="4"/>
  <c r="B25" i="4"/>
  <c r="B24" i="4"/>
  <c r="N8" i="10"/>
  <c r="O8" i="10" s="1"/>
  <c r="M26" i="9"/>
  <c r="E7" i="9" s="1"/>
  <c r="D26" i="9"/>
  <c r="D31" i="9" s="1"/>
  <c r="I25" i="9"/>
  <c r="I24" i="9"/>
  <c r="I23" i="9"/>
  <c r="I22" i="9"/>
  <c r="I21" i="9"/>
  <c r="I20" i="9"/>
  <c r="I19" i="9"/>
  <c r="E11" i="9"/>
  <c r="E10" i="9" s="1"/>
  <c r="E9" i="9"/>
  <c r="E8" i="9"/>
  <c r="C21" i="8"/>
  <c r="B17" i="7"/>
  <c r="C11" i="7" s="1"/>
  <c r="C12" i="7" s="1"/>
  <c r="H51" i="6"/>
  <c r="C45" i="6"/>
  <c r="C46" i="6" s="1"/>
  <c r="P39" i="6"/>
  <c r="P40" i="6" s="1"/>
  <c r="P42" i="6" s="1"/>
  <c r="C38" i="6"/>
  <c r="I52" i="6" s="1"/>
  <c r="F55" i="5"/>
  <c r="D48" i="5"/>
  <c r="D88" i="5" s="1"/>
  <c r="G39" i="5"/>
  <c r="E34" i="5"/>
  <c r="D34" i="5" s="1"/>
  <c r="E33" i="5"/>
  <c r="D33" i="5"/>
  <c r="E32" i="5"/>
  <c r="D32" i="5" s="1"/>
  <c r="D27" i="5"/>
  <c r="C16" i="5"/>
  <c r="D38" i="5" l="1"/>
  <c r="H72" i="5" s="1"/>
  <c r="D39" i="5"/>
  <c r="H73" i="5" s="1"/>
  <c r="D46" i="5"/>
  <c r="D86" i="5" s="1"/>
  <c r="C95" i="12"/>
  <c r="I27" i="12"/>
  <c r="C58" i="12"/>
  <c r="C60" i="12"/>
  <c r="C61" i="12" s="1"/>
  <c r="C59" i="12"/>
  <c r="C31" i="12"/>
  <c r="C32" i="12" s="1"/>
  <c r="C34" i="12" s="1"/>
  <c r="C36" i="12" s="1"/>
  <c r="C75" i="12"/>
  <c r="C76" i="12" s="1"/>
  <c r="C24" i="12"/>
  <c r="D55" i="5"/>
  <c r="E13" i="9"/>
  <c r="E12" i="9"/>
  <c r="G21" i="8"/>
  <c r="C24" i="8" s="1"/>
  <c r="C25" i="8" s="1"/>
  <c r="Q42" i="6"/>
  <c r="C35" i="6"/>
  <c r="H75" i="5" l="1"/>
  <c r="D47" i="5"/>
  <c r="D87" i="5" s="1"/>
  <c r="C63" i="12"/>
  <c r="C98" i="12" s="1"/>
  <c r="I26" i="12"/>
  <c r="I31" i="12" s="1"/>
  <c r="I32" i="12" s="1"/>
  <c r="C36" i="6"/>
  <c r="D46" i="6" s="1"/>
  <c r="D45" i="6"/>
  <c r="U40" i="6"/>
  <c r="D35" i="6"/>
  <c r="C100" i="12" l="1"/>
  <c r="C99" i="12"/>
  <c r="D36" i="6"/>
  <c r="E46" i="6" s="1"/>
  <c r="E45" i="6"/>
  <c r="E35" i="6"/>
  <c r="E36" i="6" l="1"/>
  <c r="F46" i="6" s="1"/>
  <c r="F45" i="6"/>
</calcChain>
</file>

<file path=xl/sharedStrings.xml><?xml version="1.0" encoding="utf-8"?>
<sst xmlns="http://schemas.openxmlformats.org/spreadsheetml/2006/main" count="1023" uniqueCount="528">
  <si>
    <t>CommName</t>
  </si>
  <si>
    <t>CommUnit</t>
  </si>
  <si>
    <t>Csets</t>
  </si>
  <si>
    <t>CTSLvl</t>
  </si>
  <si>
    <t>Ctype</t>
  </si>
  <si>
    <t>From rest of SATIM</t>
  </si>
  <si>
    <t>Green Quest boundary</t>
  </si>
  <si>
    <t>CO2 captured in the model</t>
  </si>
  <si>
    <t>Industry electricity</t>
  </si>
  <si>
    <t>Hydrogen</t>
  </si>
  <si>
    <t>Hydrogen for GreenQuest process</t>
  </si>
  <si>
    <t>Liquified Fuel Gas</t>
  </si>
  <si>
    <t>LPG</t>
  </si>
  <si>
    <t>CO2CAPT</t>
  </si>
  <si>
    <t>INDELC</t>
  </si>
  <si>
    <t>HGN</t>
  </si>
  <si>
    <t>HGNGQ</t>
  </si>
  <si>
    <t>LFG</t>
  </si>
  <si>
    <t>OLP</t>
  </si>
  <si>
    <t>HGN to GQ process</t>
  </si>
  <si>
    <t>HGNXGQ</t>
  </si>
  <si>
    <t>GreenQuest LFG process</t>
  </si>
  <si>
    <t>LFG to the local market of LPG</t>
  </si>
  <si>
    <t>GQLFG</t>
  </si>
  <si>
    <t>LFGXLPP</t>
  </si>
  <si>
    <t>Hyrogen Storage for GQ process</t>
  </si>
  <si>
    <t>H2STORGQ</t>
  </si>
  <si>
    <t>e.g. ELC</t>
  </si>
  <si>
    <t>timeslice e.g. ANNUAL, SEASON, DAYNITE</t>
  </si>
  <si>
    <t>sets: e.g. DEM, ENV, NRG for the rest</t>
  </si>
  <si>
    <t>Unit (e.g. PJ)</t>
  </si>
  <si>
    <t>~FI_Comm</t>
  </si>
  <si>
    <t>CommDesc</t>
  </si>
  <si>
    <t>Process Definitions</t>
  </si>
  <si>
    <t>~FI_Process</t>
  </si>
  <si>
    <t>TechName</t>
  </si>
  <si>
    <t>TechDesc</t>
  </si>
  <si>
    <t>Tact</t>
  </si>
  <si>
    <t>Tcap</t>
  </si>
  <si>
    <t>Tslvl</t>
  </si>
  <si>
    <t>Sets</t>
  </si>
  <si>
    <t>Vintage</t>
  </si>
  <si>
    <t>PJ</t>
  </si>
  <si>
    <t>Pja</t>
  </si>
  <si>
    <t>ANNUAL</t>
  </si>
  <si>
    <t>DAYNITE</t>
  </si>
  <si>
    <t>Commodity Definitions</t>
  </si>
  <si>
    <t>Region</t>
  </si>
  <si>
    <t>NRG</t>
  </si>
  <si>
    <t>REGION1</t>
  </si>
  <si>
    <t>Single step process</t>
  </si>
  <si>
    <t xml:space="preserve">Case 4: integrated heat </t>
  </si>
  <si>
    <t>Process name:</t>
  </si>
  <si>
    <t>Technology</t>
  </si>
  <si>
    <t>Operations</t>
  </si>
  <si>
    <t>Max operation</t>
  </si>
  <si>
    <t>hours per year</t>
  </si>
  <si>
    <t>Life</t>
  </si>
  <si>
    <t>Years</t>
  </si>
  <si>
    <t>Energy consumption</t>
  </si>
  <si>
    <t>Electricity</t>
  </si>
  <si>
    <t>MWe</t>
  </si>
  <si>
    <t>PJ per year</t>
  </si>
  <si>
    <t>Product mass flows</t>
  </si>
  <si>
    <t>Commodity</t>
  </si>
  <si>
    <t>kt per year</t>
  </si>
  <si>
    <t>kg per hour</t>
  </si>
  <si>
    <t>Input</t>
  </si>
  <si>
    <t>CO2</t>
  </si>
  <si>
    <t>H2</t>
  </si>
  <si>
    <t xml:space="preserve">Output </t>
  </si>
  <si>
    <t>As energy units</t>
  </si>
  <si>
    <t>MJ/kg</t>
  </si>
  <si>
    <t>Economics</t>
  </si>
  <si>
    <t>Unit</t>
  </si>
  <si>
    <t>R/EUR</t>
  </si>
  <si>
    <t>Capex</t>
  </si>
  <si>
    <t>bn ZAR total</t>
  </si>
  <si>
    <t>For the facility. Hilton email</t>
  </si>
  <si>
    <t>m ZAR / PJa</t>
  </si>
  <si>
    <t>Fixed</t>
  </si>
  <si>
    <t>assume 3% of capex</t>
  </si>
  <si>
    <t>Variable</t>
  </si>
  <si>
    <t>m ZAR / PJ</t>
  </si>
  <si>
    <t>based on report 4/24</t>
  </si>
  <si>
    <t>Comparison to aramco 4/24 report</t>
  </si>
  <si>
    <t>MJ H2/MJ FT products, LHV</t>
  </si>
  <si>
    <t>kg CO2/MJ FT products, LHV</t>
  </si>
  <si>
    <t xml:space="preserve">MJ electricity/MJ CFT products, LHV </t>
  </si>
  <si>
    <r>
      <t xml:space="preserve">Total capex (€/kW </t>
    </r>
    <r>
      <rPr>
        <vertAlign val="subscript"/>
        <sz val="11"/>
        <color theme="1"/>
        <rFont val="Aptos"/>
        <family val="2"/>
      </rPr>
      <t>final fuel</t>
    </r>
    <r>
      <rPr>
        <sz val="11"/>
        <color theme="1"/>
        <rFont val="Aptos"/>
        <family val="2"/>
      </rPr>
      <t>)</t>
    </r>
  </si>
  <si>
    <r>
      <t xml:space="preserve">Variable O&amp;M (€/GJ </t>
    </r>
    <r>
      <rPr>
        <vertAlign val="subscript"/>
        <sz val="11"/>
        <color theme="1"/>
        <rFont val="Aptos"/>
        <family val="2"/>
      </rPr>
      <t>FT products, LHV</t>
    </r>
    <r>
      <rPr>
        <sz val="11"/>
        <color theme="1"/>
        <rFont val="Aptos"/>
        <family val="2"/>
      </rPr>
      <t>)</t>
    </r>
  </si>
  <si>
    <t>Report 4/24</t>
  </si>
  <si>
    <t>This study</t>
  </si>
  <si>
    <t>References</t>
  </si>
  <si>
    <t>Link</t>
  </si>
  <si>
    <t>https://www.researchgate.net/publication/379046288_E-Fuels_A_techno-economic_assessment_of_European_domestic_production_and_imports_towards_2050_-_Update</t>
  </si>
  <si>
    <t>This is copy from Iron and Steel workbook for H2 storage</t>
  </si>
  <si>
    <t>HYDROGEN STORAGE</t>
  </si>
  <si>
    <t>Basic numbers</t>
  </si>
  <si>
    <t>Source:</t>
  </si>
  <si>
    <t xml:space="preserve">R.K. Ahluwalia, D.D. Papadias, J-K Peng, and H.S. Roh, System Level Analysis of Hydrogen Storage Options, presentation, 2019, </t>
  </si>
  <si>
    <t>Item</t>
  </si>
  <si>
    <t>value</t>
  </si>
  <si>
    <t>https://www.hydrogen.energy.gov/pdfs/review19/st001_ahluwalia_2019_o.pdf</t>
  </si>
  <si>
    <t>Hydrogen LHV</t>
  </si>
  <si>
    <t>2019USD to 2022ZAR</t>
  </si>
  <si>
    <t>Underground pipe (schedule 60) storage system gives the lowest cost:</t>
  </si>
  <si>
    <t>tonnes H2</t>
  </si>
  <si>
    <t>8-100</t>
  </si>
  <si>
    <t>Bar pressure</t>
  </si>
  <si>
    <t>$/kg</t>
  </si>
  <si>
    <t>H2 Storage system - pipelines</t>
  </si>
  <si>
    <t>Comment</t>
  </si>
  <si>
    <t>Captial</t>
  </si>
  <si>
    <t>mR/PJ H2</t>
  </si>
  <si>
    <t>Assuming further 10% by 2050</t>
  </si>
  <si>
    <t>FOM</t>
  </si>
  <si>
    <t>mR/PJ</t>
  </si>
  <si>
    <t>1% of capex assumption</t>
  </si>
  <si>
    <t>Lifespan</t>
  </si>
  <si>
    <t>Assumption</t>
  </si>
  <si>
    <t>Elec input</t>
  </si>
  <si>
    <t>MJ elec/MJ H2 stored</t>
  </si>
  <si>
    <t>Based on Mallapragada</t>
  </si>
  <si>
    <t>To ZAR for the model</t>
  </si>
  <si>
    <t>Efficiency</t>
  </si>
  <si>
    <t>Assume some leakage etc.</t>
  </si>
  <si>
    <t>to 2015 ZAR / kg H2</t>
  </si>
  <si>
    <t>2015ZAR / MJ H2</t>
  </si>
  <si>
    <t>mR for stroage</t>
  </si>
  <si>
    <t>mZAR/PJ</t>
  </si>
  <si>
    <t>~FI_T</t>
  </si>
  <si>
    <t>Learning on the pipes system by 2030</t>
  </si>
  <si>
    <t>attribute</t>
  </si>
  <si>
    <t>NCAP_COST</t>
  </si>
  <si>
    <t>NCAP_FOM</t>
  </si>
  <si>
    <t>Electricity for Compressor</t>
  </si>
  <si>
    <t>Comm-IN</t>
  </si>
  <si>
    <t>Comm-OUT</t>
  </si>
  <si>
    <t>Comm-IN-A</t>
  </si>
  <si>
    <t>LIFE</t>
  </si>
  <si>
    <t>CAP2ACT</t>
  </si>
  <si>
    <t>STG_EFF</t>
  </si>
  <si>
    <t>PRC_ACTFLO</t>
  </si>
  <si>
    <t>for compressor:</t>
  </si>
  <si>
    <t>kWh/kg H2 for 30 to 100 bar</t>
  </si>
  <si>
    <t xml:space="preserve">Mallapragada et al., Can Industrial-Scale Solar Hydrogen Supplied from Commodity Technologies Be Cost Competitive by 2030?, Cell Reports Physical Science 1, 100174, September 23, 2020 ª 2020 The Author(s). </t>
  </si>
  <si>
    <t xml:space="preserve"> https://doi.org/10.1016/j.xcrp.2020.100174</t>
  </si>
  <si>
    <t xml:space="preserve">Dummy numbers for now. Need the CO2 storage numbers from Shitab </t>
  </si>
  <si>
    <t xml:space="preserve">Numbers from flow tables for 4a integrated max flow </t>
  </si>
  <si>
    <t>Total input, and output flows</t>
  </si>
  <si>
    <t>Inputs</t>
  </si>
  <si>
    <t>kg/hr</t>
  </si>
  <si>
    <t>stream 1</t>
  </si>
  <si>
    <t>stream 11</t>
  </si>
  <si>
    <t>Output</t>
  </si>
  <si>
    <t>LHV MJ/kg</t>
  </si>
  <si>
    <t>H2O</t>
  </si>
  <si>
    <t>stream 80</t>
  </si>
  <si>
    <t>METHANOL</t>
  </si>
  <si>
    <t>DME</t>
  </si>
  <si>
    <t>BUTANE</t>
  </si>
  <si>
    <t>O2</t>
  </si>
  <si>
    <t>METHANE</t>
  </si>
  <si>
    <t>ETHANE</t>
  </si>
  <si>
    <t>PROPANE</t>
  </si>
  <si>
    <t>PENTANE</t>
  </si>
  <si>
    <t>HEXANE</t>
  </si>
  <si>
    <t>LFG = sum of above</t>
  </si>
  <si>
    <t>MJ/hr</t>
  </si>
  <si>
    <t>as</t>
  </si>
  <si>
    <t>MW</t>
  </si>
  <si>
    <t>Components using electricity</t>
  </si>
  <si>
    <t>Compressors</t>
  </si>
  <si>
    <t>Cooling</t>
  </si>
  <si>
    <t>Refridgeration</t>
  </si>
  <si>
    <t>Given COP of 1.28 by Hilton on 25th of June 2024</t>
  </si>
  <si>
    <t>Calculated COP by us</t>
  </si>
  <si>
    <t>Cold water (10 are available)</t>
  </si>
  <si>
    <t>Cooling water electricity come from a pump and a fan for the cooling tower, it's very little sometimes less than 1% of the plant electricity cost</t>
  </si>
  <si>
    <t>FT process</t>
  </si>
  <si>
    <t>based on "report 24/4 - aramco" and electricity per unit product of FT processper MJ LFG product from report of 24/4</t>
  </si>
  <si>
    <t>Total based on given COP</t>
  </si>
  <si>
    <t>Total based on Calculated COP by us</t>
  </si>
  <si>
    <t>Cooling duties</t>
  </si>
  <si>
    <t>Equipment</t>
  </si>
  <si>
    <t>Duty (MW)</t>
  </si>
  <si>
    <r>
      <t>Temperature (</t>
    </r>
    <r>
      <rPr>
        <sz val="11"/>
        <color theme="1"/>
        <rFont val="Calibri"/>
        <family val="2"/>
      </rPr>
      <t>°C)</t>
    </r>
  </si>
  <si>
    <t>Number</t>
  </si>
  <si>
    <t>Description</t>
  </si>
  <si>
    <t>In</t>
  </si>
  <si>
    <t>Out</t>
  </si>
  <si>
    <t>HX-001</t>
  </si>
  <si>
    <r>
      <t>CO</t>
    </r>
    <r>
      <rPr>
        <vertAlign val="subscript"/>
        <sz val="11"/>
        <color theme="1"/>
        <rFont val="Aptos Narrow"/>
        <family val="2"/>
        <scheme val="minor"/>
      </rPr>
      <t>2</t>
    </r>
    <r>
      <rPr>
        <sz val="11"/>
        <color theme="1"/>
        <rFont val="Aptos Narrow"/>
        <family val="2"/>
        <scheme val="minor"/>
      </rPr>
      <t xml:space="preserve"> interstage cooler</t>
    </r>
  </si>
  <si>
    <t>CW</t>
  </si>
  <si>
    <t>C-001</t>
  </si>
  <si>
    <r>
      <t>CO</t>
    </r>
    <r>
      <rPr>
        <vertAlign val="subscript"/>
        <sz val="11"/>
        <color theme="1"/>
        <rFont val="Aptos Narrow"/>
        <family val="2"/>
        <scheme val="minor"/>
      </rPr>
      <t>2</t>
    </r>
    <r>
      <rPr>
        <sz val="11"/>
        <color theme="1"/>
        <rFont val="Aptos Narrow"/>
        <family val="2"/>
        <scheme val="minor"/>
      </rPr>
      <t xml:space="preserve"> interstage compressor1</t>
    </r>
  </si>
  <si>
    <t>HX-002</t>
  </si>
  <si>
    <t>RWGS product cooler</t>
  </si>
  <si>
    <t>C-002</t>
  </si>
  <si>
    <r>
      <t>CO</t>
    </r>
    <r>
      <rPr>
        <vertAlign val="subscript"/>
        <sz val="11"/>
        <color theme="1"/>
        <rFont val="Aptos Narrow"/>
        <family val="2"/>
        <scheme val="minor"/>
      </rPr>
      <t>2</t>
    </r>
    <r>
      <rPr>
        <sz val="11"/>
        <color theme="1"/>
        <rFont val="Aptos Narrow"/>
        <family val="2"/>
        <scheme val="minor"/>
      </rPr>
      <t xml:space="preserve"> interstage compressor 2</t>
    </r>
  </si>
  <si>
    <t>HX-003</t>
  </si>
  <si>
    <t>Syngas interstage cooler</t>
  </si>
  <si>
    <t>C-003</t>
  </si>
  <si>
    <t>Pre R-002 interstage compressor 1</t>
  </si>
  <si>
    <t>HX-005</t>
  </si>
  <si>
    <t>Methanol syn product cooler</t>
  </si>
  <si>
    <t>C-004</t>
  </si>
  <si>
    <t>Pre R-002 interstage compressor 2</t>
  </si>
  <si>
    <t>HX-007</t>
  </si>
  <si>
    <t>DME syn product cooler</t>
  </si>
  <si>
    <t>C-005</t>
  </si>
  <si>
    <t>DME syn feed compressor</t>
  </si>
  <si>
    <t>HX-008</t>
  </si>
  <si>
    <t>gLFG syn product cooler 1</t>
  </si>
  <si>
    <t>C-006</t>
  </si>
  <si>
    <t>gLFG syn product compressor</t>
  </si>
  <si>
    <t>HX-009</t>
  </si>
  <si>
    <t>gLFG syn product cooler 2</t>
  </si>
  <si>
    <t>Refrig</t>
  </si>
  <si>
    <t>reversible: (COP=1/((TH/TC)-1)=(1/(((Q34+273)/(273+R34))-1))=5.64*70% isentropic efficiency</t>
  </si>
  <si>
    <t>C-007</t>
  </si>
  <si>
    <t>R-002 recycle compressor</t>
  </si>
  <si>
    <t>HX-010</t>
  </si>
  <si>
    <t>D-001 condenser</t>
  </si>
  <si>
    <t>Total</t>
  </si>
  <si>
    <t>HX-012</t>
  </si>
  <si>
    <t>D-002 condenser</t>
  </si>
  <si>
    <t>HX-014</t>
  </si>
  <si>
    <t>D-003 condenser</t>
  </si>
  <si>
    <t>HX-016</t>
  </si>
  <si>
    <t>D-004 condenser</t>
  </si>
  <si>
    <t>10 C temperature difference between the evaporator temperature and the process stream, so for -17 C the evaporating temperature will be -27 C and the reversible COP around 2.4</t>
  </si>
  <si>
    <t>HX-018</t>
  </si>
  <si>
    <t>D-005 condenser</t>
  </si>
  <si>
    <t>file:///C:/Users/n_nos/Downloads/110-2021BolajietalEnergyandThermalCondECT25112-28.pdf</t>
  </si>
  <si>
    <t>https://www.researchgate.net/publication/349961233_Energy_and_Thermal_Conductivity_Assessment_of_Dimethyl-Ether_and_its_Azeotropic_Mixtures_as_Alternative_Low_Global_Warming_Potential_Refrigerants_in_a_Refrigeration_System</t>
  </si>
  <si>
    <t>Hilton H. email on 14 August on the LVH values for the process from the aspen software</t>
  </si>
  <si>
    <t>Case</t>
  </si>
  <si>
    <r>
      <t>Fuel gas (H</t>
    </r>
    <r>
      <rPr>
        <b/>
        <vertAlign val="subscript"/>
        <sz val="11"/>
        <color theme="1"/>
        <rFont val="Aptos"/>
        <family val="2"/>
      </rPr>
      <t>2</t>
    </r>
    <r>
      <rPr>
        <b/>
        <sz val="11"/>
        <color theme="1"/>
        <rFont val="Aptos"/>
        <family val="2"/>
      </rPr>
      <t>-rich) [MW]</t>
    </r>
  </si>
  <si>
    <t>Fuel gas (C1,C2) [MW]</t>
  </si>
  <si>
    <t>Gasoline [MW]</t>
  </si>
  <si>
    <t>Waste heat [MW]</t>
  </si>
  <si>
    <t>Exported</t>
  </si>
  <si>
    <t>kg/second</t>
  </si>
  <si>
    <t>Max flow Base case No HI</t>
  </si>
  <si>
    <t>-</t>
  </si>
  <si>
    <t>Max flow Byproducts for heating</t>
  </si>
  <si>
    <t>Max flow TAC Optimized HI No waste heat</t>
  </si>
  <si>
    <t>Max flow TAC Optimized HI Waste heat exported</t>
  </si>
  <si>
    <t>Max flow Min Utility Cost HI No waste heat</t>
  </si>
  <si>
    <t>Max flow Min Utility Cost HI Waste heat exported</t>
  </si>
  <si>
    <t>Intermediate flow TAC Optimized HI No waste heat</t>
  </si>
  <si>
    <t>Min flow TAC Optimized HI No waste heat</t>
  </si>
  <si>
    <r>
      <t>Max flow TAC optimized HI No waste heat No recycle of H</t>
    </r>
    <r>
      <rPr>
        <vertAlign val="subscript"/>
        <sz val="11"/>
        <color theme="1"/>
        <rFont val="Calibri"/>
        <family val="2"/>
      </rPr>
      <t>2</t>
    </r>
  </si>
  <si>
    <t>TIMES sets: e.g. XTRACT for mining, ELE for power plants/network, DMD for demand, PRE for most other things</t>
  </si>
  <si>
    <t>Timeslice level (ANNUAL, SEASON, DAYNITE)</t>
  </si>
  <si>
    <t>Units of capacity (e.g. Pja, GW)</t>
  </si>
  <si>
    <t>Units of activity (e.g. PJ)</t>
  </si>
  <si>
    <t>Commgrp</t>
  </si>
  <si>
    <t>PRC_CAPACT</t>
  </si>
  <si>
    <r>
      <t>NCAP_AFA</t>
    </r>
    <r>
      <rPr>
        <sz val="11"/>
        <color theme="1"/>
        <rFont val="Aptos Narrow"/>
        <family val="2"/>
      </rPr>
      <t>~UP~2017</t>
    </r>
  </si>
  <si>
    <t>31.536 power plant others 1</t>
  </si>
  <si>
    <t>capacity to activity</t>
  </si>
  <si>
    <t>Annual avail</t>
  </si>
  <si>
    <t>NCAP_TLIFE</t>
  </si>
  <si>
    <t>life(years)</t>
  </si>
  <si>
    <t>Water from separation and RWGS</t>
  </si>
  <si>
    <t>Comm-OUT-A</t>
  </si>
  <si>
    <t>Attribute</t>
  </si>
  <si>
    <t>NCAP_AFA~LO</t>
  </si>
  <si>
    <t>GQLFGSS</t>
  </si>
  <si>
    <t>"SS = single step"</t>
  </si>
  <si>
    <t>Flows</t>
  </si>
  <si>
    <t>value (per year)</t>
  </si>
  <si>
    <t>value (per hour)</t>
  </si>
  <si>
    <t>lower heating value (Mj/kg)*</t>
  </si>
  <si>
    <t>kg/h</t>
  </si>
  <si>
    <t>Electricity (GJ of FT product*0.053)</t>
  </si>
  <si>
    <t>GJ</t>
  </si>
  <si>
    <t>kt</t>
  </si>
  <si>
    <t>Water</t>
  </si>
  <si>
    <t>MW_h2</t>
  </si>
  <si>
    <t>Butane</t>
  </si>
  <si>
    <t>Propane</t>
  </si>
  <si>
    <t>Ethane</t>
  </si>
  <si>
    <t>*https://www.engineeringtoolbox.com/fuels-higher-calorific-values-d_169.html</t>
  </si>
  <si>
    <t>Costs and economics</t>
  </si>
  <si>
    <t>Euro</t>
  </si>
  <si>
    <t>Rand</t>
  </si>
  <si>
    <t>Capex (ZAR)</t>
  </si>
  <si>
    <t>ZAR/unit output</t>
  </si>
  <si>
    <t>Fixed (ZAR/year)</t>
  </si>
  <si>
    <t>ZAR/unit capacity</t>
  </si>
  <si>
    <t>Variable (ZAR)</t>
  </si>
  <si>
    <t>years</t>
  </si>
  <si>
    <t>Technology parameters</t>
  </si>
  <si>
    <t>Min utilisation</t>
  </si>
  <si>
    <t>% of year</t>
  </si>
  <si>
    <t>Max utilisation</t>
  </si>
  <si>
    <r>
      <t xml:space="preserve">Total capex (R/kW </t>
    </r>
    <r>
      <rPr>
        <vertAlign val="subscript"/>
        <sz val="11"/>
        <color theme="1"/>
        <rFont val="Aptos"/>
        <family val="2"/>
      </rPr>
      <t>final fuel</t>
    </r>
    <r>
      <rPr>
        <sz val="11"/>
        <color theme="1"/>
        <rFont val="Aptos"/>
        <family val="2"/>
      </rPr>
      <t>)</t>
    </r>
  </si>
  <si>
    <r>
      <t xml:space="preserve">Fixed (R/kW </t>
    </r>
    <r>
      <rPr>
        <vertAlign val="subscript"/>
        <sz val="11"/>
        <color theme="1"/>
        <rFont val="Aptos"/>
        <family val="2"/>
      </rPr>
      <t>final fuel</t>
    </r>
    <r>
      <rPr>
        <sz val="11"/>
        <color theme="1"/>
        <rFont val="Aptos"/>
        <family val="2"/>
      </rPr>
      <t>)</t>
    </r>
  </si>
  <si>
    <r>
      <t xml:space="preserve">Variable O&amp;M (R/GJ </t>
    </r>
    <r>
      <rPr>
        <vertAlign val="subscript"/>
        <sz val="11"/>
        <color theme="1"/>
        <rFont val="Aptos"/>
        <family val="2"/>
      </rPr>
      <t>FT products, LHV</t>
    </r>
    <r>
      <rPr>
        <sz val="11"/>
        <color theme="1"/>
        <rFont val="Aptos"/>
        <family val="2"/>
      </rPr>
      <t>)</t>
    </r>
  </si>
  <si>
    <t>Based on Table 130, https://www.researchgate.net/publication/379046288_E-Fuels_A_techno-economic_assessment_of_European_domestic_production_and_imports_towards_2050_-_Update</t>
  </si>
  <si>
    <t>Act_COST</t>
  </si>
  <si>
    <t>CHE2005W Project 1 Task 3 Part 1: Cooling Tower (induced draft) Operating Costs</t>
  </si>
  <si>
    <r>
      <t xml:space="preserve">Sample calc - i.e. assumptions </t>
    </r>
    <r>
      <rPr>
        <b/>
        <u/>
        <sz val="11"/>
        <color theme="1"/>
        <rFont val="Aptos Narrow"/>
        <family val="2"/>
        <scheme val="minor"/>
      </rPr>
      <t>not</t>
    </r>
    <r>
      <rPr>
        <b/>
        <sz val="11"/>
        <color theme="1"/>
        <rFont val="Aptos Narrow"/>
        <family val="2"/>
        <scheme val="minor"/>
      </rPr>
      <t xml:space="preserve"> prescriptive</t>
    </r>
  </si>
  <si>
    <t>Value</t>
  </si>
  <si>
    <t>Units</t>
  </si>
  <si>
    <t>Source</t>
  </si>
  <si>
    <t>Comments</t>
  </si>
  <si>
    <t>"Rules-of-thumb" refers to Ludwig (see lecture notes for full reference)</t>
  </si>
  <si>
    <t>Basis</t>
  </si>
  <si>
    <t>CW Duty</t>
  </si>
  <si>
    <t xml:space="preserve">Any basis should give (roughly) same answer - only difference would be lower efficiencies for smaller pumps/fans/motors </t>
  </si>
  <si>
    <t>GJ/h</t>
  </si>
  <si>
    <t>Water Cp</t>
  </si>
  <si>
    <t>J/kg.K</t>
  </si>
  <si>
    <t>Temp (CWS)</t>
  </si>
  <si>
    <t>°C</t>
  </si>
  <si>
    <t>Rules-of-thumb</t>
  </si>
  <si>
    <t>Temp (CWR)</t>
  </si>
  <si>
    <t>CW Circ Rate</t>
  </si>
  <si>
    <t>kg/s</t>
  </si>
  <si>
    <t xml:space="preserve"> </t>
  </si>
  <si>
    <t>1. Make-up water</t>
  </si>
  <si>
    <t>∆T (CW)</t>
  </si>
  <si>
    <t>°F</t>
  </si>
  <si>
    <t>Evap losses (uncorr)</t>
  </si>
  <si>
    <t>% of circ per 10°F</t>
  </si>
  <si>
    <t>Ignoring sensible heating of air</t>
  </si>
  <si>
    <t>Alternative calc of evap losses</t>
  </si>
  <si>
    <t>% of circ</t>
  </si>
  <si>
    <t>Water latent heat</t>
  </si>
  <si>
    <t>kJ/kg</t>
  </si>
  <si>
    <t>Sensible heat factor</t>
  </si>
  <si>
    <t>Additional heuristic</t>
  </si>
  <si>
    <t>See lecture notes</t>
  </si>
  <si>
    <t>Evap losses (corr)</t>
  </si>
  <si>
    <t>Taking sensible heating of air into account</t>
  </si>
  <si>
    <t>Calculating the total electricity required</t>
  </si>
  <si>
    <t>gLFG</t>
  </si>
  <si>
    <t>Drift losses</t>
  </si>
  <si>
    <t>ton/h</t>
  </si>
  <si>
    <t>Power for the 8 pumps</t>
  </si>
  <si>
    <t>kW</t>
  </si>
  <si>
    <t>Power for 8 CW tower fans</t>
  </si>
  <si>
    <t>Blowdown losses</t>
  </si>
  <si>
    <t>from duties sheet</t>
  </si>
  <si>
    <t>Power for compressors for 2 refrigerators</t>
  </si>
  <si>
    <t>MW/1.28 HH factor</t>
  </si>
  <si>
    <t>Total power for 7 compressors</t>
  </si>
  <si>
    <t>Total losses/make-up</t>
  </si>
  <si>
    <t xml:space="preserve">Total Power </t>
  </si>
  <si>
    <t>Total Electricity required</t>
  </si>
  <si>
    <t>kWh per kg gLFG (also same MWh/ton)</t>
  </si>
  <si>
    <t>Water density</t>
  </si>
  <si>
    <r>
      <t>kg/m</t>
    </r>
    <r>
      <rPr>
        <vertAlign val="superscript"/>
        <sz val="11"/>
        <color theme="1"/>
        <rFont val="Calibri"/>
        <family val="2"/>
      </rPr>
      <t>3</t>
    </r>
  </si>
  <si>
    <r>
      <t>m</t>
    </r>
    <r>
      <rPr>
        <vertAlign val="superscript"/>
        <sz val="11"/>
        <color theme="1"/>
        <rFont val="Calibri"/>
        <family val="2"/>
      </rPr>
      <t>3</t>
    </r>
    <r>
      <rPr>
        <sz val="11"/>
        <color theme="1"/>
        <rFont val="Calibri"/>
        <family val="2"/>
      </rPr>
      <t>/h (kL/h)</t>
    </r>
  </si>
  <si>
    <t>Make-up water price</t>
  </si>
  <si>
    <t>R/kL</t>
  </si>
  <si>
    <t>Municipal tariffs</t>
  </si>
  <si>
    <t>City of Cape Town - commercial/industrial</t>
  </si>
  <si>
    <t>Cost of make-up water</t>
  </si>
  <si>
    <t>R/h</t>
  </si>
  <si>
    <t>2. Pumping power</t>
  </si>
  <si>
    <t>Equiv pipe-length/equip items</t>
  </si>
  <si>
    <t>m</t>
  </si>
  <si>
    <t>Could be lower for small-scale AD plant</t>
  </si>
  <si>
    <t>Equip items serviced by CT</t>
  </si>
  <si>
    <t>Assumes items are placed in line away from CT</t>
  </si>
  <si>
    <t>Longest equiv. pipe-length</t>
  </si>
  <si>
    <t>Supply and return; could be lower for small-scale AD plant</t>
  </si>
  <si>
    <t>Frictional loss/equiv pipe-length</t>
  </si>
  <si>
    <t>bar/100 m</t>
  </si>
  <si>
    <r>
      <rPr>
        <sz val="11"/>
        <color theme="1"/>
        <rFont val="Calibri"/>
        <family val="2"/>
      </rPr>
      <t>∆P (f</t>
    </r>
    <r>
      <rPr>
        <sz val="11"/>
        <color theme="1"/>
        <rFont val="Aptos Narrow"/>
        <family val="2"/>
        <scheme val="minor"/>
      </rPr>
      <t>rictional loss)</t>
    </r>
  </si>
  <si>
    <t>bar</t>
  </si>
  <si>
    <t>∆P per heat exchanger</t>
  </si>
  <si>
    <t>Heat exchangers in series</t>
  </si>
  <si>
    <t>HE's usually in parallel</t>
  </si>
  <si>
    <t>∆P (heat exchangers)</t>
  </si>
  <si>
    <t>∆P (spray nozzle)</t>
  </si>
  <si>
    <t>Literature</t>
  </si>
  <si>
    <t>Assuming all spray nozzles in series</t>
  </si>
  <si>
    <t>Maximum height</t>
  </si>
  <si>
    <t>Assumed CT height (and no higher points); could be much lower for small-scale AD plant</t>
  </si>
  <si>
    <t>Acceleration due to gravity</t>
  </si>
  <si>
    <r>
      <t>m/s</t>
    </r>
    <r>
      <rPr>
        <vertAlign val="superscript"/>
        <sz val="11"/>
        <color theme="1"/>
        <rFont val="Aptos Narrow"/>
        <family val="2"/>
        <scheme val="minor"/>
      </rPr>
      <t>2</t>
    </r>
  </si>
  <si>
    <t>Static head</t>
  </si>
  <si>
    <t>Pa</t>
  </si>
  <si>
    <t>Total pump head</t>
  </si>
  <si>
    <t>Pump efficiency</t>
  </si>
  <si>
    <t>Could be lower for small-scale AD plant: small pumps less efficient</t>
  </si>
  <si>
    <t>Motor efficiency</t>
  </si>
  <si>
    <t>Circ water volumetric flowrate</t>
  </si>
  <si>
    <r>
      <t>m</t>
    </r>
    <r>
      <rPr>
        <vertAlign val="superscript"/>
        <sz val="11"/>
        <color theme="1"/>
        <rFont val="Calibri"/>
        <family val="2"/>
      </rPr>
      <t>3</t>
    </r>
    <r>
      <rPr>
        <sz val="11"/>
        <color theme="1"/>
        <rFont val="Calibri"/>
        <family val="2"/>
      </rPr>
      <t>/s</t>
    </r>
  </si>
  <si>
    <r>
      <t>m</t>
    </r>
    <r>
      <rPr>
        <vertAlign val="superscript"/>
        <sz val="11"/>
        <color theme="1"/>
        <rFont val="Calibri"/>
        <family val="2"/>
      </rPr>
      <t>3</t>
    </r>
    <r>
      <rPr>
        <sz val="11"/>
        <color theme="1"/>
        <rFont val="Calibri"/>
        <family val="2"/>
      </rPr>
      <t>/min</t>
    </r>
  </si>
  <si>
    <r>
      <t>m</t>
    </r>
    <r>
      <rPr>
        <vertAlign val="superscript"/>
        <sz val="11"/>
        <color theme="1"/>
        <rFont val="Calibri"/>
        <family val="2"/>
      </rPr>
      <t>3</t>
    </r>
    <r>
      <rPr>
        <sz val="11"/>
        <color theme="1"/>
        <rFont val="Calibri"/>
        <family val="2"/>
      </rPr>
      <t>/h</t>
    </r>
  </si>
  <si>
    <t>Motor requirement from heuristics equation</t>
  </si>
  <si>
    <t>Electrical power requirement</t>
  </si>
  <si>
    <t>W</t>
  </si>
  <si>
    <t>Motor power requirement</t>
  </si>
  <si>
    <t>Price of electricity</t>
  </si>
  <si>
    <t>R/kWh</t>
  </si>
  <si>
    <t>ESKOM - Business Rate Local Authority Rates</t>
  </si>
  <si>
    <t>Cost of electricity</t>
  </si>
  <si>
    <t>3. Fan power</t>
  </si>
  <si>
    <t>Air initial temp</t>
  </si>
  <si>
    <t>https://www.weather-atlas.com</t>
  </si>
  <si>
    <t>Cape Town worst case (i.e. February)</t>
  </si>
  <si>
    <t>Air initial relative humidity</t>
  </si>
  <si>
    <t>%</t>
  </si>
  <si>
    <t>Air initial moisture content</t>
  </si>
  <si>
    <t>kg/kg dry air</t>
  </si>
  <si>
    <t>Psychrometric chart</t>
  </si>
  <si>
    <t>Water circ rate (CT flux)</t>
  </si>
  <si>
    <r>
      <t>kg/min.m</t>
    </r>
    <r>
      <rPr>
        <vertAlign val="superscript"/>
        <sz val="11"/>
        <color theme="1"/>
        <rFont val="Calibri"/>
        <family val="2"/>
      </rPr>
      <t>2</t>
    </r>
  </si>
  <si>
    <t>Air rate (CT flux)</t>
  </si>
  <si>
    <r>
      <t>kg/h.m</t>
    </r>
    <r>
      <rPr>
        <vertAlign val="superscript"/>
        <sz val="11"/>
        <color theme="1"/>
        <rFont val="Calibri"/>
        <family val="2"/>
      </rPr>
      <t>2</t>
    </r>
  </si>
  <si>
    <t>Air flowrate</t>
  </si>
  <si>
    <t>kg/kg water circ</t>
  </si>
  <si>
    <t>kg/min</t>
  </si>
  <si>
    <t>Air moisture content increase</t>
  </si>
  <si>
    <t>Air final moisture content</t>
  </si>
  <si>
    <t>Air final relative humidity</t>
  </si>
  <si>
    <t>Air final temp</t>
  </si>
  <si>
    <t>Check: this is sufficiently below CWR temp</t>
  </si>
  <si>
    <t>K</t>
  </si>
  <si>
    <r>
      <t>P</t>
    </r>
    <r>
      <rPr>
        <vertAlign val="subscript"/>
        <sz val="11"/>
        <color theme="1"/>
        <rFont val="Aptos Narrow"/>
        <family val="2"/>
        <scheme val="minor"/>
      </rPr>
      <t>2</t>
    </r>
    <r>
      <rPr>
        <sz val="11"/>
        <color theme="1"/>
        <rFont val="Aptos Narrow"/>
        <family val="2"/>
        <scheme val="minor"/>
      </rPr>
      <t xml:space="preserve"> (air fan outlet)</t>
    </r>
  </si>
  <si>
    <t>Atmospheric pressure</t>
  </si>
  <si>
    <r>
      <rPr>
        <sz val="11"/>
        <color theme="1"/>
        <rFont val="Calibri"/>
        <family val="2"/>
      </rPr>
      <t>∆P (fan</t>
    </r>
    <r>
      <rPr>
        <sz val="11"/>
        <color theme="1"/>
        <rFont val="Aptos Narrow"/>
        <family val="2"/>
        <scheme val="minor"/>
      </rPr>
      <t>)</t>
    </r>
  </si>
  <si>
    <t>inches water</t>
  </si>
  <si>
    <r>
      <t>P</t>
    </r>
    <r>
      <rPr>
        <vertAlign val="subscript"/>
        <sz val="11"/>
        <color theme="1"/>
        <rFont val="Aptos Narrow"/>
        <family val="2"/>
        <scheme val="minor"/>
      </rPr>
      <t>1</t>
    </r>
    <r>
      <rPr>
        <sz val="11"/>
        <color theme="1"/>
        <rFont val="Aptos Narrow"/>
        <family val="2"/>
        <scheme val="minor"/>
      </rPr>
      <t xml:space="preserve"> (air fan inlet)</t>
    </r>
  </si>
  <si>
    <t>Air specific heat ratio</t>
  </si>
  <si>
    <t>Alpha</t>
  </si>
  <si>
    <t>Air compressibility factor</t>
  </si>
  <si>
    <t>Conservatively high</t>
  </si>
  <si>
    <t>Air molar mass</t>
  </si>
  <si>
    <t>kg/kmol</t>
  </si>
  <si>
    <t>Air molar flowrate</t>
  </si>
  <si>
    <t>kmol/s</t>
  </si>
  <si>
    <t>Universal gas constant</t>
  </si>
  <si>
    <t>kJ/kmol.K</t>
  </si>
  <si>
    <t>Theoretical power</t>
  </si>
  <si>
    <t>Fan efficiency</t>
  </si>
  <si>
    <t>See lecture notes - CT therefore very large fan; but could be smaller (and lower efficiency) for small-scale plant</t>
  </si>
  <si>
    <t>4. Price per unit</t>
  </si>
  <si>
    <t>Total hourly cost</t>
  </si>
  <si>
    <t>Price per energy unit</t>
  </si>
  <si>
    <t>R/GJ</t>
  </si>
  <si>
    <t>Assumes CT internal to plant so no mark-up</t>
  </si>
  <si>
    <t>Price per circ water volume</t>
  </si>
  <si>
    <r>
      <t>R/m</t>
    </r>
    <r>
      <rPr>
        <vertAlign val="superscript"/>
        <sz val="11"/>
        <color theme="1"/>
        <rFont val="Calibri"/>
        <family val="2"/>
      </rPr>
      <t>3</t>
    </r>
  </si>
  <si>
    <t>From Old case 4a (Nasseba's calculation)</t>
  </si>
  <si>
    <t>From</t>
  </si>
  <si>
    <t>Tank farm</t>
  </si>
  <si>
    <t>K-001</t>
  </si>
  <si>
    <t>E-001</t>
  </si>
  <si>
    <t>R-001</t>
  </si>
  <si>
    <t>K-002</t>
  </si>
  <si>
    <t>K-003</t>
  </si>
  <si>
    <t>Mixer</t>
  </si>
  <si>
    <t>HX-004</t>
  </si>
  <si>
    <t>R-002</t>
  </si>
  <si>
    <t>K-004</t>
  </si>
  <si>
    <t>V-002</t>
  </si>
  <si>
    <t>D-001</t>
  </si>
  <si>
    <t>HX-006</t>
  </si>
  <si>
    <t>R-003</t>
  </si>
  <si>
    <t>D-002</t>
  </si>
  <si>
    <t>D-003</t>
  </si>
  <si>
    <t>V-003</t>
  </si>
  <si>
    <t>F-001</t>
  </si>
  <si>
    <t>R-004</t>
  </si>
  <si>
    <t>K-005</t>
  </si>
  <si>
    <t>K-006</t>
  </si>
  <si>
    <t>D-004</t>
  </si>
  <si>
    <t>D-005</t>
  </si>
  <si>
    <t>To</t>
  </si>
  <si>
    <t>Atmos</t>
  </si>
  <si>
    <t>HX-021</t>
  </si>
  <si>
    <t>HX-022</t>
  </si>
  <si>
    <t>HX-023</t>
  </si>
  <si>
    <t>HX-024</t>
  </si>
  <si>
    <t>HX-0024</t>
  </si>
  <si>
    <t>HX-025</t>
  </si>
  <si>
    <t>HX-026</t>
  </si>
  <si>
    <t>HX-027</t>
  </si>
  <si>
    <t>HX-028</t>
  </si>
  <si>
    <t>HX-029</t>
  </si>
  <si>
    <t>HX-030</t>
  </si>
  <si>
    <t>HX-031</t>
  </si>
  <si>
    <t>HX-032</t>
  </si>
  <si>
    <t>Recycle</t>
  </si>
  <si>
    <t>HX-033</t>
  </si>
  <si>
    <t>HP steam gen</t>
  </si>
  <si>
    <t>MIXED Substream</t>
  </si>
  <si>
    <t>Temperature</t>
  </si>
  <si>
    <t>C</t>
  </si>
  <si>
    <t>Pressure</t>
  </si>
  <si>
    <t>bara</t>
  </si>
  <si>
    <t>Molar Vapor Fraction</t>
  </si>
  <si>
    <t>Molar Liquid Fraction</t>
  </si>
  <si>
    <t>Mass Liquid Fraction</t>
  </si>
  <si>
    <t>Molar Density</t>
  </si>
  <si>
    <t>kmol/cum</t>
  </si>
  <si>
    <t>Mass Density</t>
  </si>
  <si>
    <t>kg/cum</t>
  </si>
  <si>
    <t>Mole Flows</t>
  </si>
  <si>
    <t>kmol/hr</t>
  </si>
  <si>
    <t>CO</t>
  </si>
  <si>
    <t>Mole Fractions</t>
  </si>
  <si>
    <t>Mass Flows</t>
  </si>
  <si>
    <t>Mass Fractions</t>
  </si>
  <si>
    <t>Volume Flow</t>
  </si>
  <si>
    <t>cum/hr</t>
  </si>
  <si>
    <t>Vapor Phase</t>
  </si>
  <si>
    <t>Liquid Phase</t>
  </si>
  <si>
    <t>Liquid1 Phase</t>
  </si>
  <si>
    <t>Liquid2 Phase</t>
  </si>
  <si>
    <t xml:space="preserve">Transfer HGN to HGNGQ </t>
  </si>
  <si>
    <t>Simply convert HGN produced to HGNGQ for use in GQ process</t>
  </si>
  <si>
    <t>ACT_EFF</t>
  </si>
  <si>
    <t>removed</t>
  </si>
  <si>
    <t>Send to LPG market</t>
  </si>
  <si>
    <t>NCAP_BND~LO</t>
  </si>
  <si>
    <t>PRC, PRE</t>
  </si>
  <si>
    <t>STS,PRC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</si>
</sst>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6">
    <numFmt numFmtId="6" formatCode="&quot;R&quot;#,##0;[Red]\-&quot;R&quot;#,##0"/>
    <numFmt numFmtId="8" formatCode="&quot;R&quot;#,##0.00;[Red]\-&quot;R&quot;#,##0.00"/>
    <numFmt numFmtId="43" formatCode="_-* #,##0.00_-;\-* #,##0.00_-;_-* &quot;-&quot;??_-;_-@_-"/>
    <numFmt numFmtId="164" formatCode="\Te\x\t"/>
    <numFmt numFmtId="165" formatCode="0.0"/>
    <numFmt numFmtId="166" formatCode="_-* #,##0_-;\-* #,##0_-;_-* &quot;-&quot;??_-;_-@_-"/>
    <numFmt numFmtId="167" formatCode="_-* #,##0.0_-;\-* #,##0.0_-;_-* &quot;-&quot;??_-;_-@_-"/>
    <numFmt numFmtId="168" formatCode="0.000"/>
    <numFmt numFmtId="169" formatCode="_ * #,##0_ ;_ * \-#,##0_ ;_ * &quot;-&quot;??_ ;_ @_ "/>
    <numFmt numFmtId="170" formatCode="_(* #,##0.00_);_(* \(#,##0.00\);_(* &quot;-&quot;??_);_(@_)"/>
    <numFmt numFmtId="171" formatCode="0.0000"/>
    <numFmt numFmtId="172" formatCode="0.000E+00"/>
    <numFmt numFmtId="173" formatCode="0.00000"/>
    <numFmt numFmtId="179" formatCode="_-* #,##0.00_-;\-* #,##0.00_-;_-* &quot;-&quot;??_-;_-@_-"/>
    <numFmt numFmtId="180" formatCode="_ * #,##0.00_ ;_ * \-#,##0.00_ ;_ * &quot;-&quot;??_ ;_ @_ "/>
    <numFmt numFmtId="186" formatCode="[$£-809]#,##0.000;[Red]&quot;-&quot;[$£-809]#,##0.000"/>
  </numFmts>
  <fonts count="48">
    <font>
      <sz val="11"/>
      <color theme="1"/>
      <name val="Aptos Narrow"/>
      <family val="2"/>
      <scheme val="minor"/>
    </font>
    <font>
      <sz val="11"/>
      <color theme="1"/>
      <name val="Aptos Narrow"/>
      <family val="2"/>
    </font>
    <font>
      <sz val="11"/>
      <color theme="1"/>
      <name val="Aptos Narrow"/>
      <family val="2"/>
      <scheme val="minor"/>
    </font>
    <font>
      <b/>
      <sz val="11"/>
      <color theme="3"/>
      <name val="Aptos Narrow"/>
      <family val="2"/>
      <scheme val="minor"/>
    </font>
    <font>
      <sz val="11"/>
      <color rgb="FFFF0000"/>
      <name val="Aptos Narrow"/>
      <family val="2"/>
      <scheme val="minor"/>
    </font>
    <font>
      <b/>
      <sz val="11"/>
      <color theme="1"/>
      <name val="Aptos Narrow"/>
      <family val="2"/>
      <scheme val="minor"/>
    </font>
    <font>
      <sz val="11"/>
      <color theme="0"/>
      <name val="Aptos Narrow"/>
      <family val="2"/>
      <scheme val="minor"/>
    </font>
    <font>
      <sz val="10"/>
      <name val="Arial"/>
      <family val="2"/>
    </font>
    <font>
      <u/>
      <sz val="11"/>
      <color theme="10"/>
      <name val="Aptos Narrow"/>
      <family val="2"/>
      <scheme val="minor"/>
    </font>
    <font>
      <b/>
      <sz val="16"/>
      <color theme="1"/>
      <name val="Aptos Narrow"/>
      <family val="2"/>
      <scheme val="minor"/>
    </font>
    <font>
      <b/>
      <sz val="18"/>
      <color theme="1"/>
      <name val="Aptos Narrow"/>
      <family val="2"/>
      <scheme val="minor"/>
    </font>
    <font>
      <i/>
      <sz val="11"/>
      <color theme="1"/>
      <name val="Aptos Narrow"/>
      <family val="2"/>
      <scheme val="minor"/>
    </font>
    <font>
      <sz val="11"/>
      <color theme="1"/>
      <name val="Aptos"/>
      <family val="2"/>
    </font>
    <font>
      <b/>
      <i/>
      <sz val="11"/>
      <color theme="1"/>
      <name val="Aptos Narrow"/>
      <family val="2"/>
      <scheme val="minor"/>
    </font>
    <font>
      <vertAlign val="subscript"/>
      <sz val="11"/>
      <color theme="1"/>
      <name val="Aptos"/>
      <family val="2"/>
    </font>
    <font>
      <i/>
      <sz val="11"/>
      <color rgb="FFFF0000"/>
      <name val="Aptos Narrow"/>
      <family val="2"/>
      <scheme val="minor"/>
    </font>
    <font>
      <sz val="11"/>
      <name val="Aptos Narrow"/>
      <family val="2"/>
      <scheme val="minor"/>
    </font>
    <font>
      <b/>
      <sz val="10"/>
      <name val="Aptos Narrow"/>
      <family val="2"/>
      <scheme val="minor"/>
    </font>
    <font>
      <sz val="11"/>
      <color theme="1"/>
      <name val="Calibri"/>
      <family val="2"/>
    </font>
    <font>
      <vertAlign val="subscript"/>
      <sz val="11"/>
      <color theme="1"/>
      <name val="Aptos Narrow"/>
      <family val="2"/>
      <scheme val="minor"/>
    </font>
    <font>
      <b/>
      <sz val="11"/>
      <color theme="1"/>
      <name val="Aptos"/>
      <family val="2"/>
    </font>
    <font>
      <b/>
      <vertAlign val="subscript"/>
      <sz val="11"/>
      <color theme="1"/>
      <name val="Aptos"/>
      <family val="2"/>
    </font>
    <font>
      <vertAlign val="subscript"/>
      <sz val="11"/>
      <color theme="1"/>
      <name val="Calibri"/>
      <family val="2"/>
    </font>
    <font>
      <sz val="11"/>
      <color rgb="FF00B0F0"/>
      <name val="Aptos Narrow"/>
      <family val="2"/>
      <scheme val="minor"/>
    </font>
    <font>
      <b/>
      <u/>
      <sz val="11"/>
      <color theme="1"/>
      <name val="Aptos Narrow"/>
      <family val="2"/>
      <scheme val="minor"/>
    </font>
    <font>
      <vertAlign val="superscript"/>
      <sz val="11"/>
      <color theme="1"/>
      <name val="Calibri"/>
      <family val="2"/>
    </font>
    <font>
      <vertAlign val="superscript"/>
      <sz val="11"/>
      <color theme="1"/>
      <name val="Aptos Narrow"/>
      <family val="2"/>
      <scheme val="minor"/>
    </font>
    <font>
      <sz val="11"/>
      <color rgb="FF3F3F76"/>
      <name val="Aptos Narrow"/>
      <family val="2"/>
      <scheme val="minor"/>
    </font>
    <font>
      <b/>
      <sz val="11"/>
      <color rgb="FFFA7D00"/>
      <name val="Aptos Narrow"/>
      <family val="2"/>
      <scheme val="minor"/>
    </font>
    <font>
      <sz val="10"/>
      <name val="Verdana"/>
      <family val="2"/>
    </font>
    <font>
      <sz val="10"/>
      <color theme="1"/>
      <name val="Arial"/>
      <family val="2"/>
    </font>
    <font>
      <sz val="12"/>
      <color theme="1"/>
      <name val="Aptos Narrow"/>
      <family val="2"/>
      <scheme val="minor"/>
    </font>
    <font>
      <b/>
      <sz val="12"/>
      <color theme="0"/>
      <name val="Aptos Narrow"/>
      <family val="2"/>
      <scheme val="minor"/>
    </font>
    <font>
      <i/>
      <sz val="12"/>
      <color rgb="FF7F7F7F"/>
      <name val="Aptos Narrow"/>
      <family val="2"/>
      <scheme val="minor"/>
    </font>
    <font>
      <sz val="12"/>
      <color theme="0"/>
      <name val="Aptos Narrow"/>
      <family val="2"/>
      <scheme val="minor"/>
    </font>
    <font>
      <sz val="12"/>
      <color theme="1"/>
      <name val="Arial"/>
      <family val="2"/>
    </font>
    <font>
      <u/>
      <sz val="12"/>
      <color theme="10"/>
      <name val="Aptos Narrow"/>
      <family val="2"/>
      <scheme val="minor"/>
    </font>
    <font>
      <sz val="8"/>
      <name val="Arial"/>
      <family val="2"/>
    </font>
    <font>
      <u/>
      <sz val="10"/>
      <color indexed="12"/>
      <name val="Arial"/>
      <family val="2"/>
    </font>
    <font>
      <sz val="11"/>
      <color theme="1"/>
      <name val="Arial"/>
      <family val="2"/>
    </font>
    <font>
      <u/>
      <sz val="10"/>
      <color theme="10"/>
      <name val="Arial"/>
      <family val="2"/>
    </font>
    <font>
      <sz val="10"/>
      <color rgb="FF000000"/>
      <name val="Times New Roman"/>
      <family val="1"/>
    </font>
    <font>
      <sz val="11"/>
      <color indexed="8"/>
      <name val="Calibri"/>
      <family val="2"/>
    </font>
    <font>
      <sz val="10"/>
      <name val="Courier"/>
      <family val="3"/>
    </font>
    <font>
      <sz val="11"/>
      <color rgb="FF9C6500"/>
      <name val="Aptos Narrow"/>
      <family val="2"/>
      <scheme val="minor"/>
    </font>
    <font>
      <u/>
      <sz val="12"/>
      <color theme="10"/>
      <name val="Arial"/>
      <family val="2"/>
    </font>
    <font>
      <sz val="10"/>
      <color theme="6" tint="-0.24994659260841701"/>
      <name val="Arial"/>
      <family val="2"/>
    </font>
    <font>
      <sz val="10"/>
      <color theme="9" tint="-0.24994659260841701"/>
      <name val="Arial"/>
      <family val="2"/>
    </font>
  </fonts>
  <fills count="20">
    <fill>
      <patternFill patternType="none"/>
    </fill>
    <fill>
      <patternFill patternType="gray125"/>
    </fill>
    <fill>
      <patternFill patternType="solid">
        <fgColor theme="4"/>
      </patternFill>
    </fill>
    <fill>
      <patternFill patternType="solid">
        <fgColor theme="0"/>
        <bgColor indexed="64"/>
      </patternFill>
    </fill>
    <fill>
      <patternFill patternType="solid">
        <fgColor theme="3" tint="0.749992370372631"/>
        <bgColor indexed="64"/>
      </patternFill>
    </fill>
    <fill>
      <patternFill patternType="solid">
        <fgColor theme="9"/>
        <bgColor indexed="64"/>
      </patternFill>
    </fill>
    <fill>
      <patternFill patternType="solid">
        <fgColor rgb="FFFFFF00"/>
        <bgColor indexed="64"/>
      </patternFill>
    </fill>
    <fill>
      <patternFill patternType="solid">
        <fgColor theme="8" tint="0.59999389629810485"/>
        <bgColor indexed="64"/>
      </patternFill>
    </fill>
    <fill>
      <patternFill patternType="solid">
        <fgColor rgb="FF92D050"/>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8" tint="0.79998168889431442"/>
        <bgColor indexed="65"/>
      </patternFill>
    </fill>
    <fill>
      <patternFill patternType="solid">
        <fgColor rgb="FFCC6600"/>
        <bgColor indexed="64"/>
      </patternFill>
    </fill>
  </fills>
  <borders count="64">
    <border>
      <left/>
      <right/>
      <top/>
      <bottom/>
      <diagonal/>
    </border>
    <border>
      <left/>
      <right style="thick">
        <color indexed="64"/>
      </right>
      <top/>
      <bottom/>
      <diagonal/>
    </border>
    <border>
      <left/>
      <right style="thin">
        <color indexed="64"/>
      </right>
      <top/>
      <bottom/>
      <diagonal/>
    </border>
    <border>
      <left style="thin">
        <color indexed="64"/>
      </left>
      <right style="thick">
        <color indexed="64"/>
      </right>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ck">
        <color auto="1"/>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bottom/>
      <diagonal/>
    </border>
    <border>
      <left/>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style="thin">
        <color rgb="FF000000"/>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medium">
        <color indexed="64"/>
      </right>
      <top style="medium">
        <color indexed="64"/>
      </top>
      <bottom/>
      <diagonal/>
    </border>
    <border>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theme="1"/>
      </left>
      <right/>
      <top style="medium">
        <color theme="1"/>
      </top>
      <bottom style="thin">
        <color indexed="64"/>
      </bottom>
      <diagonal/>
    </border>
    <border>
      <left/>
      <right/>
      <top style="medium">
        <color theme="1"/>
      </top>
      <bottom style="thin">
        <color indexed="64"/>
      </bottom>
      <diagonal/>
    </border>
    <border>
      <left style="medium">
        <color indexed="64"/>
      </left>
      <right style="medium">
        <color theme="1"/>
      </right>
      <top style="medium">
        <color theme="1"/>
      </top>
      <bottom/>
      <diagonal/>
    </border>
    <border>
      <left style="medium">
        <color indexed="64"/>
      </left>
      <right style="thin">
        <color indexed="64"/>
      </right>
      <top style="thin">
        <color indexed="64"/>
      </top>
      <bottom/>
      <diagonal/>
    </border>
    <border>
      <left style="medium">
        <color indexed="64"/>
      </left>
      <right style="medium">
        <color indexed="64"/>
      </right>
      <top/>
      <bottom/>
      <diagonal/>
    </border>
    <border>
      <left style="thin">
        <color indexed="64"/>
      </left>
      <right style="medium">
        <color indexed="64"/>
      </right>
      <top style="thin">
        <color indexed="64"/>
      </top>
      <bottom/>
      <diagonal/>
    </border>
    <border>
      <left style="medium">
        <color theme="1"/>
      </left>
      <right style="thin">
        <color indexed="64"/>
      </right>
      <top style="thin">
        <color indexed="64"/>
      </top>
      <bottom/>
      <diagonal/>
    </border>
    <border>
      <left style="medium">
        <color indexed="64"/>
      </left>
      <right style="medium">
        <color theme="1"/>
      </right>
      <top/>
      <bottom/>
      <diagonal/>
    </border>
    <border>
      <left style="medium">
        <color indexed="64"/>
      </left>
      <right style="thin">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thin">
        <color theme="1"/>
      </right>
      <top style="medium">
        <color indexed="64"/>
      </top>
      <bottom style="thin">
        <color theme="1"/>
      </bottom>
      <diagonal/>
    </border>
    <border>
      <left style="thin">
        <color theme="1"/>
      </left>
      <right style="medium">
        <color indexed="64"/>
      </right>
      <top style="medium">
        <color indexed="64"/>
      </top>
      <bottom style="thin">
        <color theme="1"/>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thin">
        <color theme="1"/>
      </right>
      <top style="thin">
        <color theme="1"/>
      </top>
      <bottom style="thin">
        <color theme="1"/>
      </bottom>
      <diagonal/>
    </border>
    <border>
      <left style="thin">
        <color theme="1"/>
      </left>
      <right style="medium">
        <color indexed="64"/>
      </right>
      <top style="thin">
        <color theme="1"/>
      </top>
      <bottom style="thin">
        <color theme="1"/>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thin">
        <color indexed="64"/>
      </top>
      <bottom/>
      <diagonal/>
    </border>
    <border>
      <left style="medium">
        <color theme="1"/>
      </left>
      <right style="medium">
        <color indexed="64"/>
      </right>
      <top style="thin">
        <color theme="1"/>
      </top>
      <bottom/>
      <diagonal/>
    </border>
    <border>
      <left style="thin">
        <color indexed="64"/>
      </left>
      <right style="medium">
        <color indexed="64"/>
      </right>
      <top style="medium">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medium">
        <color indexed="64"/>
      </right>
      <top/>
      <bottom style="medium">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s>
  <cellStyleXfs count="159">
    <xf numFmtId="0" fontId="0" fillId="0" borderId="0"/>
    <xf numFmtId="43" fontId="2" fillId="0" borderId="0" applyFont="0" applyFill="0" applyBorder="0" applyAlignment="0" applyProtection="0"/>
    <xf numFmtId="9" fontId="2" fillId="0" borderId="0" applyFont="0" applyFill="0" applyBorder="0" applyAlignment="0" applyProtection="0"/>
    <xf numFmtId="0" fontId="3" fillId="0" borderId="0" applyNumberFormat="0" applyFill="0" applyBorder="0" applyAlignment="0" applyProtection="0"/>
    <xf numFmtId="0" fontId="6" fillId="2" borderId="0" applyNumberFormat="0" applyBorder="0" applyAlignment="0" applyProtection="0"/>
    <xf numFmtId="0" fontId="7" fillId="0" borderId="0"/>
    <xf numFmtId="0" fontId="8" fillId="0" borderId="0" applyNumberForma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7" fillId="0" borderId="0"/>
    <xf numFmtId="0" fontId="2" fillId="0" borderId="0"/>
    <xf numFmtId="43" fontId="2" fillId="0" borderId="0" applyFont="0" applyFill="0" applyBorder="0" applyAlignment="0" applyProtection="0"/>
    <xf numFmtId="180" fontId="2" fillId="0" borderId="0" applyFont="0" applyFill="0" applyBorder="0" applyAlignment="0" applyProtection="0"/>
    <xf numFmtId="0" fontId="7" fillId="0" borderId="0"/>
    <xf numFmtId="0" fontId="30" fillId="0" borderId="0"/>
    <xf numFmtId="0" fontId="31" fillId="0" borderId="0"/>
    <xf numFmtId="0" fontId="33" fillId="0" borderId="0" applyNumberFormat="0" applyFill="0" applyBorder="0" applyAlignment="0" applyProtection="0"/>
    <xf numFmtId="0" fontId="32" fillId="14" borderId="63" applyNumberFormat="0" applyAlignment="0" applyProtection="0"/>
    <xf numFmtId="9" fontId="31" fillId="0" borderId="0" applyFont="0" applyFill="0" applyBorder="0" applyAlignment="0" applyProtection="0"/>
    <xf numFmtId="0" fontId="34" fillId="2" borderId="0" applyNumberFormat="0" applyBorder="0" applyAlignment="0" applyProtection="0"/>
    <xf numFmtId="0" fontId="31" fillId="15" borderId="0" applyNumberFormat="0" applyBorder="0" applyAlignment="0" applyProtection="0"/>
    <xf numFmtId="0" fontId="34" fillId="16" borderId="0" applyNumberFormat="0" applyBorder="0" applyAlignment="0" applyProtection="0"/>
    <xf numFmtId="0" fontId="30" fillId="0" borderId="0"/>
    <xf numFmtId="0" fontId="2" fillId="0" borderId="0"/>
    <xf numFmtId="9" fontId="30" fillId="0" borderId="0" applyFont="0" applyFill="0" applyBorder="0" applyAlignment="0" applyProtection="0"/>
    <xf numFmtId="0" fontId="6" fillId="19" borderId="0" applyAlignment="0" applyProtection="0"/>
    <xf numFmtId="0" fontId="36" fillId="0" borderId="0" applyNumberFormat="0" applyFill="0" applyBorder="0" applyAlignment="0" applyProtection="0"/>
    <xf numFmtId="179" fontId="2" fillId="0" borderId="0" applyFont="0" applyFill="0" applyBorder="0" applyAlignment="0" applyProtection="0"/>
    <xf numFmtId="180" fontId="2" fillId="0" borderId="0" applyFont="0" applyFill="0" applyBorder="0" applyAlignment="0" applyProtection="0"/>
    <xf numFmtId="0" fontId="7" fillId="0" borderId="0"/>
    <xf numFmtId="0" fontId="29" fillId="0" borderId="0"/>
    <xf numFmtId="0" fontId="2" fillId="0" borderId="0"/>
    <xf numFmtId="43" fontId="29" fillId="0" borderId="0" applyFont="0" applyFill="0" applyBorder="0" applyAlignment="0" applyProtection="0"/>
    <xf numFmtId="9" fontId="29" fillId="0" borderId="0" applyFont="0" applyFill="0" applyBorder="0" applyAlignment="0" applyProtection="0"/>
    <xf numFmtId="0" fontId="7" fillId="0" borderId="0"/>
    <xf numFmtId="0" fontId="7" fillId="0" borderId="0"/>
    <xf numFmtId="0" fontId="2" fillId="0" borderId="0"/>
    <xf numFmtId="0" fontId="7" fillId="0" borderId="0"/>
    <xf numFmtId="179" fontId="7" fillId="0" borderId="0" applyFont="0" applyFill="0" applyBorder="0" applyAlignment="0" applyProtection="0"/>
    <xf numFmtId="179" fontId="7" fillId="0" borderId="0" applyFont="0" applyFill="0" applyBorder="0" applyAlignment="0" applyProtection="0"/>
    <xf numFmtId="9" fontId="7" fillId="0" borderId="0" applyFont="0" applyFill="0" applyBorder="0" applyAlignment="0" applyProtection="0"/>
    <xf numFmtId="0" fontId="7" fillId="0" borderId="0"/>
    <xf numFmtId="0" fontId="2" fillId="0" borderId="0"/>
    <xf numFmtId="0" fontId="38" fillId="0" borderId="0" applyNumberFormat="0" applyFill="0" applyBorder="0" applyAlignment="0" applyProtection="0">
      <alignment vertical="top"/>
      <protection locked="0"/>
    </xf>
    <xf numFmtId="0" fontId="2" fillId="0" borderId="0"/>
    <xf numFmtId="9" fontId="2" fillId="0" borderId="0" applyFont="0" applyFill="0" applyBorder="0" applyAlignment="0" applyProtection="0"/>
    <xf numFmtId="0" fontId="39" fillId="0" borderId="0"/>
    <xf numFmtId="179" fontId="39" fillId="0" borderId="0" applyFont="0" applyFill="0" applyBorder="0" applyAlignment="0" applyProtection="0"/>
    <xf numFmtId="179" fontId="2" fillId="0" borderId="0" applyFont="0" applyFill="0" applyBorder="0" applyAlignment="0" applyProtection="0"/>
    <xf numFmtId="9" fontId="39" fillId="0" borderId="0" applyFont="0" applyFill="0" applyBorder="0" applyAlignment="0" applyProtection="0"/>
    <xf numFmtId="0" fontId="40" fillId="0" borderId="0" applyNumberFormat="0" applyFill="0" applyBorder="0" applyAlignment="0" applyProtection="0"/>
    <xf numFmtId="186" fontId="7" fillId="0" borderId="0"/>
    <xf numFmtId="0" fontId="31" fillId="0" borderId="0"/>
    <xf numFmtId="0" fontId="41" fillId="0" borderId="0"/>
    <xf numFmtId="0" fontId="2" fillId="0" borderId="0"/>
    <xf numFmtId="0" fontId="35" fillId="0" borderId="0"/>
    <xf numFmtId="0" fontId="2" fillId="0" borderId="0"/>
    <xf numFmtId="9" fontId="2" fillId="0" borderId="0" applyFont="0" applyFill="0" applyBorder="0" applyAlignment="0" applyProtection="0"/>
    <xf numFmtId="0" fontId="2" fillId="0" borderId="0"/>
    <xf numFmtId="179" fontId="42" fillId="0" borderId="0" applyFont="0" applyFill="0" applyBorder="0" applyAlignment="0" applyProtection="0"/>
    <xf numFmtId="0" fontId="8" fillId="0" borderId="0" applyNumberFormat="0" applyFill="0" applyBorder="0" applyAlignment="0" applyProtection="0"/>
    <xf numFmtId="179" fontId="2" fillId="0" borderId="0" applyFont="0" applyFill="0" applyBorder="0" applyAlignment="0" applyProtection="0"/>
    <xf numFmtId="179" fontId="2" fillId="0" borderId="0" applyFont="0" applyFill="0" applyBorder="0" applyAlignment="0" applyProtection="0"/>
    <xf numFmtId="0" fontId="2" fillId="0" borderId="0"/>
    <xf numFmtId="0" fontId="28" fillId="13" borderId="62" applyNumberFormat="0" applyAlignment="0" applyProtection="0"/>
    <xf numFmtId="0" fontId="27" fillId="12" borderId="62" applyNumberFormat="0" applyAlignment="0" applyProtection="0"/>
    <xf numFmtId="0" fontId="38" fillId="0" borderId="0" applyNumberFormat="0" applyFill="0" applyBorder="0" applyAlignment="0" applyProtection="0">
      <alignment vertical="top"/>
      <protection locked="0"/>
    </xf>
    <xf numFmtId="9" fontId="7" fillId="0" borderId="0" applyFont="0" applyFill="0" applyBorder="0" applyAlignment="0" applyProtection="0"/>
    <xf numFmtId="179" fontId="7" fillId="0" borderId="0" applyFont="0" applyFill="0" applyBorder="0" applyAlignment="0" applyProtection="0"/>
    <xf numFmtId="9" fontId="2" fillId="0" borderId="0" applyFont="0" applyFill="0" applyBorder="0" applyAlignment="0" applyProtection="0"/>
    <xf numFmtId="0" fontId="2" fillId="0" borderId="0"/>
    <xf numFmtId="9" fontId="2" fillId="0" borderId="0" applyFont="0" applyFill="0" applyBorder="0" applyAlignment="0" applyProtection="0"/>
    <xf numFmtId="179" fontId="2" fillId="0" borderId="0" applyFont="0" applyFill="0" applyBorder="0" applyAlignment="0" applyProtection="0"/>
    <xf numFmtId="0" fontId="2" fillId="18" borderId="0" applyNumberFormat="0" applyBorder="0" applyAlignment="0" applyProtection="0"/>
    <xf numFmtId="0" fontId="6" fillId="17" borderId="0" applyNumberFormat="0" applyBorder="0" applyAlignment="0" applyProtection="0"/>
    <xf numFmtId="179" fontId="2" fillId="0" borderId="0" applyFont="0" applyFill="0" applyBorder="0" applyAlignment="0" applyProtection="0"/>
    <xf numFmtId="0" fontId="44" fillId="11" borderId="0" applyNumberFormat="0" applyBorder="0" applyAlignment="0" applyProtection="0"/>
    <xf numFmtId="0" fontId="7" fillId="0" borderId="0"/>
    <xf numFmtId="0" fontId="7" fillId="0" borderId="0"/>
    <xf numFmtId="0" fontId="2" fillId="0" borderId="0"/>
    <xf numFmtId="0" fontId="7" fillId="0" borderId="0"/>
    <xf numFmtId="0" fontId="43" fillId="0" borderId="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0" fontId="7" fillId="0" borderId="0"/>
    <xf numFmtId="179" fontId="7" fillId="0" borderId="0" applyFont="0" applyFill="0" applyBorder="0" applyAlignment="0" applyProtection="0"/>
    <xf numFmtId="179" fontId="39" fillId="0" borderId="0" applyFont="0" applyFill="0" applyBorder="0" applyAlignment="0" applyProtection="0"/>
    <xf numFmtId="179" fontId="2" fillId="0" borderId="0" applyFont="0" applyFill="0" applyBorder="0" applyAlignment="0" applyProtection="0"/>
    <xf numFmtId="179" fontId="7" fillId="0" borderId="0" applyFont="0" applyFill="0" applyBorder="0" applyAlignment="0" applyProtection="0"/>
    <xf numFmtId="179" fontId="2" fillId="0" borderId="0" applyFont="0" applyFill="0" applyBorder="0" applyAlignment="0" applyProtection="0"/>
    <xf numFmtId="9" fontId="2" fillId="0" borderId="0" applyFont="0" applyFill="0" applyBorder="0" applyAlignment="0" applyProtection="0"/>
    <xf numFmtId="179" fontId="2" fillId="0" borderId="0" applyFont="0" applyFill="0" applyBorder="0" applyAlignment="0" applyProtection="0"/>
    <xf numFmtId="0" fontId="29" fillId="0" borderId="0"/>
    <xf numFmtId="179" fontId="29" fillId="0" borderId="0" applyFont="0" applyFill="0" applyBorder="0" applyAlignment="0" applyProtection="0"/>
    <xf numFmtId="179" fontId="7" fillId="0" borderId="0" applyFont="0" applyFill="0" applyBorder="0" applyAlignment="0" applyProtection="0"/>
    <xf numFmtId="179" fontId="7" fillId="0" borderId="0" applyFont="0" applyFill="0" applyBorder="0" applyAlignment="0" applyProtection="0"/>
    <xf numFmtId="179" fontId="39" fillId="0" borderId="0" applyFont="0" applyFill="0" applyBorder="0" applyAlignment="0" applyProtection="0"/>
    <xf numFmtId="179" fontId="2" fillId="0" borderId="0" applyFont="0" applyFill="0" applyBorder="0" applyAlignment="0" applyProtection="0"/>
    <xf numFmtId="179" fontId="42" fillId="0" borderId="0" applyFont="0" applyFill="0" applyBorder="0" applyAlignment="0" applyProtection="0"/>
    <xf numFmtId="179" fontId="2" fillId="0" borderId="0" applyFont="0" applyFill="0" applyBorder="0" applyAlignment="0" applyProtection="0"/>
    <xf numFmtId="179" fontId="2" fillId="0" borderId="0" applyFont="0" applyFill="0" applyBorder="0" applyAlignment="0" applyProtection="0"/>
    <xf numFmtId="179" fontId="7" fillId="0" borderId="0" applyFont="0" applyFill="0" applyBorder="0" applyAlignment="0" applyProtection="0"/>
    <xf numFmtId="179" fontId="2" fillId="0" borderId="0" applyFont="0" applyFill="0" applyBorder="0" applyAlignment="0" applyProtection="0"/>
    <xf numFmtId="179" fontId="2" fillId="0" borderId="0" applyFont="0" applyFill="0" applyBorder="0" applyAlignment="0" applyProtection="0"/>
    <xf numFmtId="179" fontId="7" fillId="0" borderId="0" applyFont="0" applyFill="0" applyBorder="0" applyAlignment="0" applyProtection="0"/>
    <xf numFmtId="179" fontId="39" fillId="0" borderId="0" applyFont="0" applyFill="0" applyBorder="0" applyAlignment="0" applyProtection="0"/>
    <xf numFmtId="179" fontId="2" fillId="0" borderId="0" applyFont="0" applyFill="0" applyBorder="0" applyAlignment="0" applyProtection="0"/>
    <xf numFmtId="179" fontId="7" fillId="0" borderId="0" applyFont="0" applyFill="0" applyBorder="0" applyAlignment="0" applyProtection="0"/>
    <xf numFmtId="179" fontId="2" fillId="0" borderId="0" applyFont="0" applyFill="0" applyBorder="0" applyAlignment="0" applyProtection="0"/>
    <xf numFmtId="0" fontId="29" fillId="0" borderId="0"/>
    <xf numFmtId="9" fontId="29" fillId="0" borderId="0" applyFont="0" applyFill="0" applyBorder="0" applyAlignment="0" applyProtection="0"/>
    <xf numFmtId="0" fontId="2" fillId="0" borderId="0"/>
    <xf numFmtId="9" fontId="2" fillId="0" borderId="0" applyFont="0" applyFill="0" applyBorder="0" applyAlignment="0" applyProtection="0"/>
    <xf numFmtId="179" fontId="31" fillId="0" borderId="0" applyFont="0" applyFill="0" applyBorder="0" applyAlignment="0" applyProtection="0"/>
    <xf numFmtId="0" fontId="2" fillId="0" borderId="0"/>
    <xf numFmtId="0" fontId="31" fillId="0" borderId="0"/>
    <xf numFmtId="0" fontId="36" fillId="0" borderId="0" applyNumberFormat="0" applyFill="0" applyBorder="0" applyAlignment="0" applyProtection="0"/>
    <xf numFmtId="9" fontId="31" fillId="0" borderId="0" applyFont="0" applyFill="0" applyBorder="0" applyAlignment="0" applyProtection="0"/>
    <xf numFmtId="0" fontId="2" fillId="0" borderId="0"/>
    <xf numFmtId="9" fontId="2" fillId="0" borderId="0" applyFont="0" applyFill="0" applyBorder="0" applyAlignment="0" applyProtection="0"/>
    <xf numFmtId="0" fontId="2" fillId="0" borderId="0"/>
    <xf numFmtId="179" fontId="31"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0" fontId="35" fillId="0" borderId="0"/>
    <xf numFmtId="0" fontId="45" fillId="0" borderId="0" applyNumberFormat="0" applyFill="0" applyBorder="0" applyAlignment="0" applyProtection="0"/>
    <xf numFmtId="4" fontId="46" fillId="0" borderId="0" applyNumberFormat="0" applyFill="0" applyBorder="0" applyAlignment="0" applyProtection="0">
      <alignment horizontal="center"/>
    </xf>
    <xf numFmtId="179" fontId="7" fillId="0" borderId="0" applyFont="0" applyFill="0" applyBorder="0" applyAlignment="0" applyProtection="0"/>
    <xf numFmtId="0" fontId="47" fillId="0" borderId="0" applyNumberFormat="0" applyFill="0" applyBorder="0" applyAlignment="0" applyProtection="0"/>
    <xf numFmtId="179" fontId="7" fillId="0" borderId="0" applyFont="0" applyFill="0" applyBorder="0" applyAlignment="0" applyProtection="0"/>
    <xf numFmtId="179" fontId="7" fillId="0" borderId="0" applyFont="0" applyFill="0" applyBorder="0" applyAlignment="0" applyProtection="0"/>
    <xf numFmtId="179" fontId="39" fillId="0" borderId="0" applyFont="0" applyFill="0" applyBorder="0" applyAlignment="0" applyProtection="0"/>
    <xf numFmtId="179" fontId="2" fillId="0" borderId="0" applyFont="0" applyFill="0" applyBorder="0" applyAlignment="0" applyProtection="0"/>
    <xf numFmtId="0" fontId="40" fillId="0" borderId="0" applyNumberFormat="0" applyFill="0" applyBorder="0" applyAlignment="0" applyProtection="0"/>
    <xf numFmtId="0" fontId="31" fillId="0" borderId="0"/>
    <xf numFmtId="0" fontId="2" fillId="0" borderId="0"/>
    <xf numFmtId="179" fontId="42" fillId="0" borderId="0" applyFont="0" applyFill="0" applyBorder="0" applyAlignment="0" applyProtection="0"/>
    <xf numFmtId="179" fontId="2" fillId="0" borderId="0" applyFont="0" applyFill="0" applyBorder="0" applyAlignment="0" applyProtection="0"/>
    <xf numFmtId="179" fontId="2" fillId="0" borderId="0" applyFont="0" applyFill="0" applyBorder="0" applyAlignment="0" applyProtection="0"/>
    <xf numFmtId="9" fontId="7" fillId="0" borderId="0" applyFont="0" applyFill="0" applyBorder="0" applyAlignment="0" applyProtection="0"/>
    <xf numFmtId="179" fontId="7" fillId="0" borderId="0" applyFont="0" applyFill="0" applyBorder="0" applyAlignment="0" applyProtection="0"/>
    <xf numFmtId="0" fontId="2" fillId="0" borderId="0"/>
    <xf numFmtId="9" fontId="2" fillId="0" borderId="0" applyFont="0" applyFill="0" applyBorder="0" applyAlignment="0" applyProtection="0"/>
    <xf numFmtId="0" fontId="2" fillId="0" borderId="0"/>
    <xf numFmtId="9" fontId="2" fillId="0" borderId="0" applyFont="0" applyFill="0" applyBorder="0" applyAlignment="0" applyProtection="0"/>
    <xf numFmtId="179" fontId="2" fillId="0" borderId="0" applyFont="0" applyFill="0" applyBorder="0" applyAlignment="0" applyProtection="0"/>
    <xf numFmtId="179" fontId="2" fillId="0" borderId="0" applyFont="0" applyFill="0" applyBorder="0" applyAlignment="0" applyProtection="0"/>
    <xf numFmtId="0" fontId="7" fillId="0" borderId="0"/>
    <xf numFmtId="0" fontId="2" fillId="0" borderId="0"/>
    <xf numFmtId="9" fontId="7" fillId="0" borderId="0" applyFont="0" applyFill="0" applyBorder="0" applyAlignment="0" applyProtection="0"/>
    <xf numFmtId="9" fontId="7" fillId="0" borderId="0" applyFont="0" applyFill="0" applyBorder="0" applyAlignment="0" applyProtection="0"/>
    <xf numFmtId="0" fontId="31" fillId="0" borderId="0"/>
  </cellStyleXfs>
  <cellXfs count="225">
    <xf numFmtId="0" fontId="0" fillId="0" borderId="0" xfId="0"/>
    <xf numFmtId="0" fontId="0" fillId="3" borderId="0" xfId="0" applyFill="1"/>
    <xf numFmtId="0" fontId="5" fillId="3" borderId="0" xfId="0" applyFont="1" applyFill="1"/>
    <xf numFmtId="0" fontId="0" fillId="3" borderId="1" xfId="0" applyFill="1" applyBorder="1"/>
    <xf numFmtId="0" fontId="0" fillId="3" borderId="0" xfId="0" applyFill="1" applyAlignment="1">
      <alignment horizontal="center" vertical="center"/>
    </xf>
    <xf numFmtId="0" fontId="0" fillId="3" borderId="2" xfId="0" applyFill="1" applyBorder="1" applyAlignment="1">
      <alignment horizontal="center" vertical="center" textRotation="90"/>
    </xf>
    <xf numFmtId="0" fontId="0" fillId="3" borderId="0" xfId="0" applyFill="1" applyAlignment="1">
      <alignment horizontal="center" vertical="center" textRotation="90"/>
    </xf>
    <xf numFmtId="0" fontId="5" fillId="3" borderId="2" xfId="0" applyFont="1" applyFill="1" applyBorder="1" applyAlignment="1">
      <alignment horizontal="center" vertical="center" textRotation="90"/>
    </xf>
    <xf numFmtId="0" fontId="0" fillId="3" borderId="2" xfId="0" applyFill="1" applyBorder="1"/>
    <xf numFmtId="0" fontId="0" fillId="3" borderId="3" xfId="0" applyFill="1" applyBorder="1"/>
    <xf numFmtId="0" fontId="0" fillId="3" borderId="4" xfId="0" applyFill="1" applyBorder="1"/>
    <xf numFmtId="0" fontId="0" fillId="3" borderId="5" xfId="0" applyFill="1" applyBorder="1" applyAlignment="1">
      <alignment horizontal="center" vertical="center"/>
    </xf>
    <xf numFmtId="0" fontId="0" fillId="3" borderId="6" xfId="0" applyFill="1" applyBorder="1"/>
    <xf numFmtId="0" fontId="0" fillId="3" borderId="7" xfId="0" applyFill="1" applyBorder="1" applyAlignment="1">
      <alignment horizontal="center" vertical="center"/>
    </xf>
    <xf numFmtId="0" fontId="5" fillId="3" borderId="7" xfId="0" applyFont="1" applyFill="1" applyBorder="1" applyAlignment="1">
      <alignment horizontal="center" vertical="center"/>
    </xf>
    <xf numFmtId="0" fontId="0" fillId="3" borderId="8" xfId="0" applyFill="1" applyBorder="1"/>
    <xf numFmtId="0" fontId="0" fillId="3" borderId="9" xfId="0" applyFill="1" applyBorder="1"/>
    <xf numFmtId="0" fontId="0" fillId="3" borderId="10" xfId="0" applyFill="1" applyBorder="1" applyAlignment="1">
      <alignment horizontal="center" vertical="center"/>
    </xf>
    <xf numFmtId="0" fontId="0" fillId="3" borderId="4" xfId="0" applyFill="1" applyBorder="1" applyAlignment="1">
      <alignment horizontal="center" vertical="center"/>
    </xf>
    <xf numFmtId="0" fontId="0" fillId="3" borderId="10" xfId="0" applyFill="1" applyBorder="1"/>
    <xf numFmtId="0" fontId="9" fillId="0" borderId="0" xfId="0" applyFont="1"/>
    <xf numFmtId="0" fontId="5" fillId="0" borderId="0" xfId="0" applyFont="1"/>
    <xf numFmtId="0" fontId="0" fillId="0" borderId="0" xfId="0" applyAlignment="1">
      <alignment horizontal="center"/>
    </xf>
    <xf numFmtId="0" fontId="0" fillId="0" borderId="2" xfId="0" applyBorder="1"/>
    <xf numFmtId="0" fontId="0" fillId="0" borderId="6" xfId="0" applyBorder="1"/>
    <xf numFmtId="0" fontId="0" fillId="0" borderId="4" xfId="0" applyBorder="1"/>
    <xf numFmtId="0" fontId="0" fillId="0" borderId="10" xfId="0" applyBorder="1"/>
    <xf numFmtId="0" fontId="0" fillId="0" borderId="13" xfId="0" applyBorder="1"/>
    <xf numFmtId="0" fontId="0" fillId="0" borderId="15" xfId="0" applyBorder="1"/>
    <xf numFmtId="0" fontId="3" fillId="0" borderId="0" xfId="3"/>
    <xf numFmtId="0" fontId="5" fillId="4" borderId="0" xfId="0" applyFont="1" applyFill="1"/>
    <xf numFmtId="0" fontId="10" fillId="0" borderId="0" xfId="0" applyFont="1"/>
    <xf numFmtId="2" fontId="0" fillId="0" borderId="0" xfId="0" applyNumberFormat="1"/>
    <xf numFmtId="9" fontId="0" fillId="0" borderId="0" xfId="0" applyNumberFormat="1"/>
    <xf numFmtId="0" fontId="5" fillId="0" borderId="16" xfId="0" applyFont="1" applyBorder="1"/>
    <xf numFmtId="0" fontId="0" fillId="0" borderId="16" xfId="0" applyBorder="1"/>
    <xf numFmtId="165" fontId="0" fillId="0" borderId="0" xfId="0" applyNumberFormat="1"/>
    <xf numFmtId="0" fontId="5" fillId="0" borderId="0" xfId="0" applyFont="1" applyAlignment="1">
      <alignment horizontal="right"/>
    </xf>
    <xf numFmtId="0" fontId="5" fillId="0" borderId="0" xfId="0" applyFont="1" applyAlignment="1">
      <alignment vertical="center"/>
    </xf>
    <xf numFmtId="166" fontId="0" fillId="0" borderId="0" xfId="1" applyNumberFormat="1" applyFont="1" applyBorder="1"/>
    <xf numFmtId="166" fontId="0" fillId="0" borderId="0" xfId="1" applyNumberFormat="1" applyFont="1"/>
    <xf numFmtId="9" fontId="0" fillId="0" borderId="0" xfId="2" applyFont="1"/>
    <xf numFmtId="0" fontId="11" fillId="0" borderId="0" xfId="0" applyFont="1" applyAlignment="1">
      <alignment vertical="center"/>
    </xf>
    <xf numFmtId="0" fontId="0" fillId="0" borderId="0" xfId="0" applyAlignment="1">
      <alignment horizontal="right"/>
    </xf>
    <xf numFmtId="167" fontId="0" fillId="0" borderId="0" xfId="0" applyNumberFormat="1"/>
    <xf numFmtId="166" fontId="5" fillId="0" borderId="0" xfId="0" applyNumberFormat="1" applyFont="1"/>
    <xf numFmtId="43" fontId="0" fillId="0" borderId="0" xfId="1" applyFont="1"/>
    <xf numFmtId="43" fontId="0" fillId="0" borderId="0" xfId="0" applyNumberFormat="1"/>
    <xf numFmtId="1" fontId="0" fillId="0" borderId="0" xfId="0" applyNumberFormat="1"/>
    <xf numFmtId="166" fontId="12" fillId="0" borderId="0" xfId="1" applyNumberFormat="1" applyFont="1" applyBorder="1" applyAlignment="1">
      <alignment horizontal="right" vertical="center"/>
    </xf>
    <xf numFmtId="166" fontId="0" fillId="0" borderId="0" xfId="0" applyNumberFormat="1"/>
    <xf numFmtId="0" fontId="13" fillId="0" borderId="0" xfId="0" applyFont="1"/>
    <xf numFmtId="0" fontId="0" fillId="0" borderId="17" xfId="0" applyBorder="1"/>
    <xf numFmtId="0" fontId="0" fillId="0" borderId="18" xfId="0" applyBorder="1" applyAlignment="1">
      <alignment wrapText="1"/>
    </xf>
    <xf numFmtId="0" fontId="12" fillId="0" borderId="18" xfId="0" applyFont="1" applyBorder="1" applyAlignment="1">
      <alignment vertical="center" wrapText="1"/>
    </xf>
    <xf numFmtId="0" fontId="0" fillId="0" borderId="19" xfId="0" applyBorder="1"/>
    <xf numFmtId="0" fontId="0" fillId="0" borderId="20" xfId="0" applyBorder="1"/>
    <xf numFmtId="0" fontId="0" fillId="0" borderId="21" xfId="0" applyBorder="1"/>
    <xf numFmtId="168" fontId="0" fillId="0" borderId="0" xfId="0" applyNumberFormat="1"/>
    <xf numFmtId="0" fontId="0" fillId="0" borderId="22" xfId="0" applyBorder="1"/>
    <xf numFmtId="0" fontId="0" fillId="0" borderId="23" xfId="0" applyBorder="1"/>
    <xf numFmtId="0" fontId="15" fillId="0" borderId="0" xfId="0" applyFont="1"/>
    <xf numFmtId="0" fontId="0" fillId="0" borderId="1" xfId="0" applyBorder="1"/>
    <xf numFmtId="0" fontId="8" fillId="0" borderId="0" xfId="6" applyAlignment="1">
      <alignment vertical="center"/>
    </xf>
    <xf numFmtId="0" fontId="5" fillId="0" borderId="4" xfId="0" applyFont="1" applyBorder="1"/>
    <xf numFmtId="0" fontId="8" fillId="0" borderId="0" xfId="6"/>
    <xf numFmtId="8" fontId="0" fillId="0" borderId="0" xfId="0" applyNumberFormat="1"/>
    <xf numFmtId="0" fontId="0" fillId="0" borderId="11" xfId="0" applyBorder="1"/>
    <xf numFmtId="0" fontId="5" fillId="0" borderId="11" xfId="0" applyFont="1" applyBorder="1"/>
    <xf numFmtId="169" fontId="0" fillId="0" borderId="11" xfId="1" applyNumberFormat="1" applyFont="1" applyBorder="1"/>
    <xf numFmtId="0" fontId="11" fillId="0" borderId="11" xfId="0" applyFont="1" applyBorder="1"/>
    <xf numFmtId="9" fontId="0" fillId="0" borderId="11" xfId="0" applyNumberFormat="1" applyBorder="1"/>
    <xf numFmtId="9" fontId="0" fillId="0" borderId="11" xfId="2" applyFont="1" applyBorder="1"/>
    <xf numFmtId="8" fontId="0" fillId="0" borderId="11" xfId="0" applyNumberFormat="1" applyBorder="1"/>
    <xf numFmtId="166" fontId="0" fillId="0" borderId="0" xfId="7" applyNumberFormat="1" applyFont="1"/>
    <xf numFmtId="166" fontId="5" fillId="0" borderId="0" xfId="7" applyNumberFormat="1" applyFont="1"/>
    <xf numFmtId="10" fontId="0" fillId="0" borderId="0" xfId="0" applyNumberFormat="1"/>
    <xf numFmtId="164" fontId="16" fillId="4" borderId="0" xfId="4" applyNumberFormat="1" applyFont="1" applyFill="1" applyAlignment="1">
      <alignment vertical="center"/>
    </xf>
    <xf numFmtId="0" fontId="17" fillId="4" borderId="14" xfId="0" applyFont="1" applyFill="1" applyBorder="1" applyAlignment="1">
      <alignment vertical="center" wrapText="1"/>
    </xf>
    <xf numFmtId="0" fontId="17" fillId="4" borderId="0" xfId="0" applyFont="1" applyFill="1" applyAlignment="1">
      <alignment vertical="center" wrapText="1"/>
    </xf>
    <xf numFmtId="169" fontId="0" fillId="0" borderId="0" xfId="0" applyNumberFormat="1"/>
    <xf numFmtId="0" fontId="16" fillId="0" borderId="0" xfId="0" applyFont="1"/>
    <xf numFmtId="0" fontId="0" fillId="5" borderId="0" xfId="0" applyFill="1"/>
    <xf numFmtId="0" fontId="4" fillId="0" borderId="0" xfId="0" applyFont="1"/>
    <xf numFmtId="0" fontId="5" fillId="0" borderId="12" xfId="0" applyFont="1" applyBorder="1"/>
    <xf numFmtId="0" fontId="0" fillId="0" borderId="14" xfId="0" applyBorder="1"/>
    <xf numFmtId="0" fontId="5" fillId="0" borderId="15" xfId="0" applyFont="1" applyBorder="1"/>
    <xf numFmtId="167" fontId="0" fillId="0" borderId="0" xfId="1" applyNumberFormat="1" applyFont="1" applyBorder="1"/>
    <xf numFmtId="0" fontId="0" fillId="0" borderId="0" xfId="0" applyAlignment="1">
      <alignment vertical="center"/>
    </xf>
    <xf numFmtId="0" fontId="5" fillId="0" borderId="10" xfId="0" applyFont="1" applyBorder="1"/>
    <xf numFmtId="167" fontId="5" fillId="0" borderId="4" xfId="0" applyNumberFormat="1" applyFont="1" applyBorder="1"/>
    <xf numFmtId="167" fontId="5" fillId="0" borderId="0" xfId="1" applyNumberFormat="1" applyFont="1"/>
    <xf numFmtId="166" fontId="5" fillId="0" borderId="0" xfId="1" applyNumberFormat="1" applyFont="1"/>
    <xf numFmtId="0" fontId="0" fillId="0" borderId="24" xfId="0" applyBorder="1" applyAlignment="1">
      <alignment vertical="center"/>
    </xf>
    <xf numFmtId="0" fontId="5" fillId="0" borderId="24" xfId="0" applyFont="1" applyBorder="1" applyAlignment="1">
      <alignment vertical="center"/>
    </xf>
    <xf numFmtId="165" fontId="0" fillId="0" borderId="24" xfId="0" applyNumberFormat="1" applyBorder="1" applyAlignment="1">
      <alignment vertical="center"/>
    </xf>
    <xf numFmtId="0" fontId="5" fillId="0" borderId="25" xfId="0" applyFont="1" applyBorder="1" applyAlignment="1">
      <alignment vertical="center"/>
    </xf>
    <xf numFmtId="0" fontId="0" fillId="0" borderId="25" xfId="0" applyBorder="1" applyAlignment="1">
      <alignment vertical="center"/>
    </xf>
    <xf numFmtId="0" fontId="0" fillId="0" borderId="24" xfId="0" applyBorder="1" applyAlignment="1">
      <alignment vertical="center" wrapText="1"/>
    </xf>
    <xf numFmtId="165" fontId="5" fillId="0" borderId="24" xfId="0" applyNumberFormat="1" applyFont="1" applyBorder="1" applyAlignment="1">
      <alignment vertical="center"/>
    </xf>
    <xf numFmtId="0" fontId="0" fillId="0" borderId="25" xfId="0" applyBorder="1" applyAlignment="1">
      <alignment vertical="center" wrapText="1"/>
    </xf>
    <xf numFmtId="170" fontId="5" fillId="0" borderId="24" xfId="0" applyNumberFormat="1" applyFont="1" applyBorder="1" applyAlignment="1">
      <alignment vertical="center"/>
    </xf>
    <xf numFmtId="0" fontId="0" fillId="0" borderId="27" xfId="0" applyBorder="1" applyAlignment="1">
      <alignment vertical="center"/>
    </xf>
    <xf numFmtId="166" fontId="0" fillId="0" borderId="28" xfId="0" applyNumberFormat="1" applyBorder="1" applyAlignment="1">
      <alignment vertical="center"/>
    </xf>
    <xf numFmtId="0" fontId="0" fillId="6" borderId="24" xfId="0" applyFill="1" applyBorder="1" applyAlignment="1">
      <alignment vertical="center"/>
    </xf>
    <xf numFmtId="165" fontId="0" fillId="6" borderId="29" xfId="0" applyNumberFormat="1" applyFill="1" applyBorder="1" applyAlignment="1">
      <alignment vertical="center"/>
    </xf>
    <xf numFmtId="0" fontId="0" fillId="0" borderId="24" xfId="0" applyBorder="1"/>
    <xf numFmtId="165" fontId="0" fillId="0" borderId="28" xfId="0" applyNumberFormat="1" applyBorder="1"/>
    <xf numFmtId="0" fontId="0" fillId="0" borderId="35" xfId="0" applyBorder="1" applyAlignment="1">
      <alignment horizontal="center" vertical="center"/>
    </xf>
    <xf numFmtId="0" fontId="0" fillId="0" borderId="36" xfId="0" applyBorder="1" applyAlignment="1">
      <alignment horizontal="center" vertical="center"/>
    </xf>
    <xf numFmtId="0" fontId="0" fillId="0" borderId="38" xfId="0" applyBorder="1" applyAlignment="1">
      <alignment vertical="center"/>
    </xf>
    <xf numFmtId="0" fontId="0" fillId="0" borderId="12" xfId="0" applyBorder="1" applyAlignment="1">
      <alignment vertical="center"/>
    </xf>
    <xf numFmtId="0" fontId="0" fillId="0" borderId="40" xfId="0" applyBorder="1"/>
    <xf numFmtId="0" fontId="0" fillId="0" borderId="41" xfId="0" applyBorder="1" applyAlignment="1">
      <alignment vertical="center"/>
    </xf>
    <xf numFmtId="0" fontId="0" fillId="0" borderId="43" xfId="0" applyBorder="1" applyAlignment="1">
      <alignment vertical="center"/>
    </xf>
    <xf numFmtId="0" fontId="0" fillId="0" borderId="34" xfId="0" applyBorder="1" applyAlignment="1">
      <alignment vertical="center"/>
    </xf>
    <xf numFmtId="2" fontId="0" fillId="0" borderId="44" xfId="0" applyNumberFormat="1" applyBorder="1" applyAlignment="1">
      <alignment horizontal="right" vertical="center"/>
    </xf>
    <xf numFmtId="2" fontId="0" fillId="0" borderId="45" xfId="0" applyNumberFormat="1" applyBorder="1"/>
    <xf numFmtId="2" fontId="0" fillId="0" borderId="46" xfId="0" applyNumberFormat="1" applyBorder="1"/>
    <xf numFmtId="0" fontId="0" fillId="0" borderId="47" xfId="0" applyBorder="1" applyAlignment="1">
      <alignment vertical="center"/>
    </xf>
    <xf numFmtId="2" fontId="0" fillId="0" borderId="34" xfId="0" applyNumberFormat="1" applyBorder="1" applyAlignment="1">
      <alignment horizontal="right" vertical="center"/>
    </xf>
    <xf numFmtId="0" fontId="0" fillId="0" borderId="48" xfId="0" applyBorder="1"/>
    <xf numFmtId="0" fontId="0" fillId="0" borderId="49" xfId="0" applyBorder="1"/>
    <xf numFmtId="2" fontId="0" fillId="0" borderId="50" xfId="0" applyNumberFormat="1" applyBorder="1"/>
    <xf numFmtId="2" fontId="0" fillId="0" borderId="51" xfId="0" applyNumberFormat="1" applyBorder="1"/>
    <xf numFmtId="2" fontId="0" fillId="0" borderId="52" xfId="0" applyNumberFormat="1" applyBorder="1"/>
    <xf numFmtId="0" fontId="0" fillId="0" borderId="11" xfId="0" applyBorder="1" applyAlignment="1">
      <alignment vertical="center"/>
    </xf>
    <xf numFmtId="2" fontId="0" fillId="0" borderId="49" xfId="0" applyNumberFormat="1" applyBorder="1"/>
    <xf numFmtId="0" fontId="0" fillId="0" borderId="53" xfId="0" applyBorder="1"/>
    <xf numFmtId="0" fontId="0" fillId="0" borderId="54" xfId="0" applyBorder="1" applyAlignment="1">
      <alignment vertical="center"/>
    </xf>
    <xf numFmtId="2" fontId="0" fillId="0" borderId="55" xfId="0" applyNumberFormat="1" applyBorder="1"/>
    <xf numFmtId="0" fontId="5" fillId="0" borderId="7" xfId="0" applyFont="1" applyBorder="1"/>
    <xf numFmtId="2" fontId="5" fillId="0" borderId="0" xfId="0" applyNumberFormat="1" applyFont="1"/>
    <xf numFmtId="0" fontId="0" fillId="0" borderId="38" xfId="0" applyBorder="1"/>
    <xf numFmtId="2" fontId="0" fillId="0" borderId="56" xfId="0" applyNumberFormat="1" applyBorder="1"/>
    <xf numFmtId="2" fontId="0" fillId="0" borderId="20" xfId="0" applyNumberFormat="1" applyBorder="1"/>
    <xf numFmtId="2" fontId="0" fillId="0" borderId="57" xfId="0" applyNumberFormat="1" applyBorder="1"/>
    <xf numFmtId="2" fontId="0" fillId="0" borderId="11" xfId="0" applyNumberFormat="1" applyBorder="1"/>
    <xf numFmtId="0" fontId="0" fillId="0" borderId="0" xfId="0" applyAlignment="1">
      <alignment wrapText="1"/>
    </xf>
    <xf numFmtId="0" fontId="20" fillId="0" borderId="60" xfId="0" applyFont="1" applyBorder="1" applyAlignment="1">
      <alignment horizontal="center" vertical="center" wrapText="1"/>
    </xf>
    <xf numFmtId="0" fontId="20" fillId="0" borderId="23" xfId="0" applyFont="1" applyBorder="1" applyAlignment="1">
      <alignment horizontal="center" vertical="center" wrapText="1"/>
    </xf>
    <xf numFmtId="0" fontId="18" fillId="0" borderId="61" xfId="0" applyFont="1" applyBorder="1" applyAlignment="1">
      <alignment vertical="center" wrapText="1"/>
    </xf>
    <xf numFmtId="0" fontId="12" fillId="0" borderId="23" xfId="0" applyFont="1" applyBorder="1" applyAlignment="1">
      <alignment horizontal="center" vertical="center" wrapText="1"/>
    </xf>
    <xf numFmtId="0" fontId="12" fillId="0" borderId="15" xfId="0" applyFont="1" applyBorder="1" applyAlignment="1">
      <alignment vertical="center"/>
    </xf>
    <xf numFmtId="0" fontId="3" fillId="0" borderId="0" xfId="3" applyFill="1"/>
    <xf numFmtId="164" fontId="3" fillId="0" borderId="0" xfId="3" applyNumberFormat="1" applyFill="1" applyBorder="1" applyAlignment="1">
      <alignment horizontal="left"/>
    </xf>
    <xf numFmtId="0" fontId="5" fillId="0" borderId="17" xfId="0" applyFont="1" applyBorder="1"/>
    <xf numFmtId="0" fontId="0" fillId="0" borderId="18" xfId="0" applyBorder="1"/>
    <xf numFmtId="0" fontId="8" fillId="0" borderId="19" xfId="6" applyBorder="1"/>
    <xf numFmtId="0" fontId="5" fillId="0" borderId="21" xfId="0" applyFont="1" applyBorder="1"/>
    <xf numFmtId="166" fontId="0" fillId="0" borderId="21" xfId="1" applyNumberFormat="1" applyFont="1" applyBorder="1"/>
    <xf numFmtId="165" fontId="5" fillId="0" borderId="0" xfId="0" applyNumberFormat="1" applyFont="1"/>
    <xf numFmtId="166" fontId="0" fillId="0" borderId="16" xfId="1" applyNumberFormat="1" applyFont="1" applyBorder="1"/>
    <xf numFmtId="166" fontId="0" fillId="0" borderId="23" xfId="1" applyNumberFormat="1" applyFont="1" applyBorder="1"/>
    <xf numFmtId="166" fontId="12" fillId="0" borderId="0" xfId="1" applyNumberFormat="1" applyFont="1" applyAlignment="1">
      <alignment horizontal="right" vertical="center"/>
    </xf>
    <xf numFmtId="0" fontId="23" fillId="0" borderId="0" xfId="0" applyFont="1"/>
    <xf numFmtId="2" fontId="0" fillId="0" borderId="21" xfId="0" applyNumberFormat="1" applyBorder="1"/>
    <xf numFmtId="0" fontId="8" fillId="0" borderId="0" xfId="6" applyBorder="1"/>
    <xf numFmtId="0" fontId="12" fillId="0" borderId="19" xfId="0" applyFont="1" applyBorder="1" applyAlignment="1">
      <alignment vertical="center" wrapText="1"/>
    </xf>
    <xf numFmtId="168" fontId="0" fillId="0" borderId="16" xfId="0" applyNumberFormat="1" applyBorder="1"/>
    <xf numFmtId="0" fontId="17" fillId="0" borderId="0" xfId="0" applyFont="1" applyAlignment="1">
      <alignment vertical="center" wrapText="1"/>
    </xf>
    <xf numFmtId="0" fontId="18" fillId="0" borderId="0" xfId="0" applyFont="1"/>
    <xf numFmtId="1" fontId="0" fillId="6" borderId="0" xfId="0" applyNumberFormat="1" applyFill="1"/>
    <xf numFmtId="171" fontId="0" fillId="0" borderId="0" xfId="0" applyNumberFormat="1"/>
    <xf numFmtId="0" fontId="0" fillId="7" borderId="0" xfId="0" applyFill="1"/>
    <xf numFmtId="168" fontId="0" fillId="7" borderId="0" xfId="0" applyNumberFormat="1" applyFill="1"/>
    <xf numFmtId="2" fontId="0" fillId="7" borderId="0" xfId="0" applyNumberFormat="1" applyFill="1"/>
    <xf numFmtId="165" fontId="0" fillId="6" borderId="0" xfId="0" applyNumberFormat="1" applyFill="1"/>
    <xf numFmtId="0" fontId="5" fillId="7" borderId="0" xfId="0" applyFont="1" applyFill="1"/>
    <xf numFmtId="172" fontId="0" fillId="0" borderId="0" xfId="0" applyNumberFormat="1"/>
    <xf numFmtId="173" fontId="0" fillId="0" borderId="0" xfId="0" applyNumberFormat="1"/>
    <xf numFmtId="168" fontId="0" fillId="6" borderId="0" xfId="0" applyNumberFormat="1" applyFill="1"/>
    <xf numFmtId="168" fontId="5" fillId="0" borderId="0" xfId="0" applyNumberFormat="1" applyFont="1"/>
    <xf numFmtId="2" fontId="0" fillId="6" borderId="0" xfId="0" applyNumberFormat="1" applyFill="1"/>
    <xf numFmtId="2" fontId="0" fillId="8" borderId="0" xfId="0" applyNumberFormat="1" applyFill="1"/>
    <xf numFmtId="0" fontId="5" fillId="0" borderId="43" xfId="0" applyFont="1" applyBorder="1"/>
    <xf numFmtId="0" fontId="5" fillId="0" borderId="47" xfId="0" applyFont="1" applyBorder="1"/>
    <xf numFmtId="0" fontId="5" fillId="0" borderId="47" xfId="0" applyFont="1" applyBorder="1" applyAlignment="1">
      <alignment horizontal="center"/>
    </xf>
    <xf numFmtId="0" fontId="5" fillId="0" borderId="34" xfId="0" applyFont="1" applyBorder="1" applyAlignment="1">
      <alignment horizontal="center"/>
    </xf>
    <xf numFmtId="49" fontId="0" fillId="0" borderId="11" xfId="0" applyNumberFormat="1" applyBorder="1"/>
    <xf numFmtId="6" fontId="0" fillId="0" borderId="0" xfId="0" applyNumberFormat="1"/>
    <xf numFmtId="11" fontId="0" fillId="0" borderId="0" xfId="0" applyNumberFormat="1"/>
    <xf numFmtId="0" fontId="5" fillId="9" borderId="48" xfId="0" applyFont="1" applyFill="1" applyBorder="1"/>
    <xf numFmtId="0" fontId="0" fillId="9" borderId="11" xfId="0" applyFill="1" applyBorder="1"/>
    <xf numFmtId="165" fontId="0" fillId="9" borderId="11" xfId="0" applyNumberFormat="1" applyFill="1" applyBorder="1"/>
    <xf numFmtId="165" fontId="0" fillId="9" borderId="49" xfId="0" applyNumberFormat="1" applyFill="1" applyBorder="1"/>
    <xf numFmtId="165" fontId="0" fillId="0" borderId="11" xfId="0" applyNumberFormat="1" applyBorder="1"/>
    <xf numFmtId="165" fontId="0" fillId="0" borderId="49" xfId="0" applyNumberFormat="1" applyBorder="1"/>
    <xf numFmtId="2" fontId="0" fillId="9" borderId="11" xfId="0" applyNumberFormat="1" applyFill="1" applyBorder="1"/>
    <xf numFmtId="2" fontId="0" fillId="9" borderId="49" xfId="0" applyNumberFormat="1" applyFill="1" applyBorder="1"/>
    <xf numFmtId="171" fontId="0" fillId="0" borderId="11" xfId="0" applyNumberFormat="1" applyBorder="1"/>
    <xf numFmtId="171" fontId="0" fillId="0" borderId="49" xfId="0" applyNumberFormat="1" applyBorder="1"/>
    <xf numFmtId="1" fontId="0" fillId="9" borderId="11" xfId="0" applyNumberFormat="1" applyFill="1" applyBorder="1"/>
    <xf numFmtId="1" fontId="0" fillId="9" borderId="49" xfId="0" applyNumberFormat="1" applyFill="1" applyBorder="1"/>
    <xf numFmtId="1" fontId="0" fillId="0" borderId="11" xfId="0" applyNumberFormat="1" applyBorder="1"/>
    <xf numFmtId="1" fontId="0" fillId="0" borderId="49" xfId="0" applyNumberFormat="1" applyBorder="1"/>
    <xf numFmtId="0" fontId="5" fillId="10" borderId="48" xfId="0" applyFont="1" applyFill="1" applyBorder="1"/>
    <xf numFmtId="0" fontId="0" fillId="10" borderId="11" xfId="0" applyFill="1" applyBorder="1"/>
    <xf numFmtId="2" fontId="0" fillId="10" borderId="11" xfId="0" applyNumberFormat="1" applyFill="1" applyBorder="1"/>
    <xf numFmtId="2" fontId="0" fillId="10" borderId="49" xfId="0" applyNumberFormat="1" applyFill="1" applyBorder="1"/>
    <xf numFmtId="0" fontId="0" fillId="0" borderId="54" xfId="0" applyBorder="1"/>
    <xf numFmtId="165" fontId="0" fillId="0" borderId="54" xfId="0" applyNumberFormat="1" applyBorder="1"/>
    <xf numFmtId="165" fontId="0" fillId="0" borderId="55" xfId="0" applyNumberFormat="1" applyBorder="1"/>
    <xf numFmtId="0" fontId="0" fillId="0" borderId="37" xfId="0" applyBorder="1" applyAlignment="1">
      <alignment horizontal="center" vertical="center"/>
    </xf>
    <xf numFmtId="0" fontId="0" fillId="0" borderId="42" xfId="0" applyBorder="1" applyAlignment="1">
      <alignment horizontal="center" vertical="center"/>
    </xf>
    <xf numFmtId="0" fontId="0" fillId="0" borderId="0" xfId="0" applyAlignment="1">
      <alignment horizontal="center" vertical="center"/>
    </xf>
    <xf numFmtId="0" fontId="0" fillId="0" borderId="0" xfId="0" applyAlignment="1">
      <alignment horizontal="center"/>
    </xf>
    <xf numFmtId="0" fontId="5" fillId="0" borderId="25" xfId="0" applyFont="1" applyBorder="1" applyAlignment="1">
      <alignment vertical="center"/>
    </xf>
    <xf numFmtId="0" fontId="5" fillId="0" borderId="26" xfId="0" applyFont="1" applyBorder="1" applyAlignment="1">
      <alignment vertical="center"/>
    </xf>
    <xf numFmtId="0" fontId="0" fillId="0" borderId="25" xfId="0" applyBorder="1" applyAlignment="1">
      <alignment vertical="center"/>
    </xf>
    <xf numFmtId="0" fontId="0" fillId="0" borderId="26" xfId="0" applyBorder="1" applyAlignment="1">
      <alignment vertical="center"/>
    </xf>
    <xf numFmtId="0" fontId="0" fillId="0" borderId="30" xfId="0" applyBorder="1" applyAlignment="1">
      <alignment horizontal="center" vertical="center"/>
    </xf>
    <xf numFmtId="0" fontId="0" fillId="0" borderId="31" xfId="0" applyBorder="1" applyAlignment="1">
      <alignment horizontal="center" vertical="center"/>
    </xf>
    <xf numFmtId="0" fontId="0" fillId="0" borderId="32" xfId="0" applyBorder="1" applyAlignment="1">
      <alignment horizontal="center" vertical="center"/>
    </xf>
    <xf numFmtId="0" fontId="0" fillId="0" borderId="39" xfId="0" applyBorder="1" applyAlignment="1">
      <alignment horizontal="center" vertical="center"/>
    </xf>
    <xf numFmtId="0" fontId="0" fillId="0" borderId="33" xfId="0" applyBorder="1" applyAlignment="1">
      <alignment horizontal="center"/>
    </xf>
    <xf numFmtId="0" fontId="0" fillId="0" borderId="34" xfId="0" applyBorder="1" applyAlignment="1">
      <alignment horizontal="center"/>
    </xf>
    <xf numFmtId="0" fontId="20" fillId="0" borderId="58" xfId="0" applyFont="1" applyBorder="1" applyAlignment="1">
      <alignment vertical="center" wrapText="1"/>
    </xf>
    <xf numFmtId="0" fontId="20" fillId="0" borderId="61" xfId="0" applyFont="1" applyBorder="1" applyAlignment="1">
      <alignment vertical="center" wrapText="1"/>
    </xf>
    <xf numFmtId="0" fontId="20" fillId="0" borderId="59" xfId="0" applyFont="1" applyBorder="1" applyAlignment="1">
      <alignment horizontal="center" vertical="center" wrapText="1"/>
    </xf>
    <xf numFmtId="0" fontId="20" fillId="0" borderId="60" xfId="0" applyFont="1" applyBorder="1" applyAlignment="1">
      <alignment horizontal="center" vertical="center" wrapText="1"/>
    </xf>
    <xf numFmtId="0" fontId="0" fillId="0" borderId="0" xfId="0"/>
    <xf numFmtId="0" fontId="0" fillId="0" borderId="0" xfId="0"/>
    <xf numFmtId="0" fontId="0" fillId="0" borderId="0" xfId="0"/>
    <xf numFmtId="0" fontId="0" fillId="0" borderId="0" xfId="0"/>
  </cellXfs>
  <cellStyles count="159">
    <cellStyle name="20% - Accent5 2" xfId="73" xr:uid="{B01A03B3-FB02-4B3C-99F1-A591EE1A8036}"/>
    <cellStyle name="40% - Accent1 2" xfId="20" xr:uid="{5C2EB71B-8F9F-4DFC-A7D3-700F0EE1C291}"/>
    <cellStyle name="60% - Accent1 2" xfId="21" xr:uid="{E3884B2F-8571-4EAD-8D60-8FDF383F709E}"/>
    <cellStyle name="60% - Accent2 2" xfId="74" xr:uid="{5C54806C-B9E5-453E-8AEA-D4578E6AF09B}"/>
    <cellStyle name="Accent1" xfId="4" builtinId="29"/>
    <cellStyle name="Accent1 2" xfId="19" xr:uid="{9FFFF802-4766-4B99-8B6D-99C2FF9A766A}"/>
    <cellStyle name="Calculation 2" xfId="64" xr:uid="{EE534F96-A73F-4F4B-9AE7-B61B79E5DE62}"/>
    <cellStyle name="Check Cell 2" xfId="17" xr:uid="{AE16D8D0-32BA-4606-AB18-05BA0ADA059F}"/>
    <cellStyle name="Comma" xfId="1" builtinId="3"/>
    <cellStyle name="Comma 2" xfId="7" xr:uid="{E26DBC65-75AA-4572-B66C-1EA82025BABE}"/>
    <cellStyle name="Comma 2 2" xfId="11" xr:uid="{1C8DAE25-E9DC-496B-9E79-43AB96EFAE46}"/>
    <cellStyle name="Comma 2 2 2" xfId="62" xr:uid="{AFB695AD-146F-4187-8480-7B27B556471D}"/>
    <cellStyle name="Comma 2 2 2 2" xfId="106" xr:uid="{830A7AA3-4278-453F-9486-73BF6E8BEE90}"/>
    <cellStyle name="Comma 2 2 2 3" xfId="145" xr:uid="{258AFDD8-4285-4AEB-A294-87BCFB2F5080}"/>
    <cellStyle name="Comma 2 2 3" xfId="47" xr:uid="{CDD58575-3092-49BF-A647-8EBBC0D69117}"/>
    <cellStyle name="Comma 2 2 3 2" xfId="102" xr:uid="{FAF21560-B6A9-45EE-A1E9-713FA3B1DF9A}"/>
    <cellStyle name="Comma 2 2 3 3" xfId="138" xr:uid="{31282B0A-B4EE-4DF4-B498-F6CC3345D773}"/>
    <cellStyle name="Comma 2 2 4" xfId="92" xr:uid="{D6F1385B-2385-4C0C-96A2-8F416CFACBA0}"/>
    <cellStyle name="Comma 2 2 4 2" xfId="111" xr:uid="{18EEBA76-B477-4B37-8858-9CDF6C4DF75C}"/>
    <cellStyle name="Comma 2 2 5" xfId="28" xr:uid="{64004BF3-BCFC-4888-B972-2D7D4B0AE291}"/>
    <cellStyle name="Comma 2 3" xfId="38" xr:uid="{A623AD7B-DB27-45D3-B6D0-9DE260C644BD}"/>
    <cellStyle name="Comma 2 3 2" xfId="100" xr:uid="{E08D99A4-2335-4BBD-A428-60E3CF2F9B8F}"/>
    <cellStyle name="Comma 2 3 3" xfId="136" xr:uid="{250D8B92-6F8D-45DD-89DE-BB3BE460E7C5}"/>
    <cellStyle name="Comma 2 4" xfId="61" xr:uid="{776B4251-9B0B-4B80-9C16-87725CC8ACE8}"/>
    <cellStyle name="Comma 2 4 2" xfId="93" xr:uid="{EB870356-DC03-4749-AC55-FED47772E1F1}"/>
    <cellStyle name="Comma 2 4 2 2" xfId="112" xr:uid="{D8755B91-21BA-4E63-9CC1-088458C000FB}"/>
    <cellStyle name="Comma 2 4 3" xfId="105" xr:uid="{4C50D07D-D363-4158-A970-72B76E8AE304}"/>
    <cellStyle name="Comma 2 4 4" xfId="144" xr:uid="{B41D05D4-EB85-491A-9AAD-B7DEF9F802FF}"/>
    <cellStyle name="Comma 2 5" xfId="75" xr:uid="{921107FB-2E02-42F7-8B49-4441BA4DFB0B}"/>
    <cellStyle name="Comma 2 5 2" xfId="95" xr:uid="{D5681AD7-C8C3-450E-92B0-30C5A04FA0A4}"/>
    <cellStyle name="Comma 2 5 2 2" xfId="114" xr:uid="{C4E62613-CF12-44BE-AC7B-34C36F83DDFE}"/>
    <cellStyle name="Comma 2 5 3" xfId="109" xr:uid="{EC0BD626-BB75-4283-A63D-CF0347F07150}"/>
    <cellStyle name="Comma 2 5 4" xfId="153" xr:uid="{159483DB-48E6-4F31-B016-0E0C5BC361E7}"/>
    <cellStyle name="Comma 2 6" xfId="39" xr:uid="{E4447EF3-4C9E-485B-9FFF-537AB9F92281}"/>
    <cellStyle name="Comma 2 6 2" xfId="101" xr:uid="{9E3E27A5-0887-453E-87F7-2AFDBD24F38C}"/>
    <cellStyle name="Comma 2 6 3" xfId="137" xr:uid="{3E4875C9-2524-4AE9-9BFD-F7441A5B2F19}"/>
    <cellStyle name="Comma 2 7" xfId="91" xr:uid="{A6079795-DC7C-494A-8E0D-0F564D7895BB}"/>
    <cellStyle name="Comma 2 7 2" xfId="110" xr:uid="{6C227D4E-5BFD-497E-9E74-D4CA8ECB4545}"/>
    <cellStyle name="Comma 2 8" xfId="97" xr:uid="{B0D764A3-6F22-4551-B367-45ACDA08E3A4}"/>
    <cellStyle name="Comma 2 9" xfId="27" xr:uid="{088CF8F5-F036-48F6-B9DE-0DDACF9B9193}"/>
    <cellStyle name="Comma 3" xfId="8" xr:uid="{80DAC96B-80FA-4EF7-80C3-8DE709C4878E}"/>
    <cellStyle name="Comma 3 2" xfId="59" xr:uid="{A2645C29-C5DF-482D-A4B3-A6639B353DEB}"/>
    <cellStyle name="Comma 3 2 2" xfId="104" xr:uid="{9CE833B5-3303-493F-B70D-A5317BD345DA}"/>
    <cellStyle name="Comma 3 2 3" xfId="143" xr:uid="{38A84DD9-2764-4F55-A8CA-3EB6EB4B4502}"/>
    <cellStyle name="Comma 3 3" xfId="48" xr:uid="{3E9B06CF-1D83-4B99-B3F1-096905761350}"/>
    <cellStyle name="Comma 3 3 2" xfId="103" xr:uid="{A4F31D99-DB46-4A04-8820-08F22A8A1543}"/>
    <cellStyle name="Comma 3 3 3" xfId="139" xr:uid="{F8A3B9FD-7979-4F59-93C6-5795703B05AF}"/>
    <cellStyle name="Comma 3 4" xfId="99" xr:uid="{3624FF4E-53F7-40A3-889F-3362773A23CB}"/>
    <cellStyle name="Comma 3 5" xfId="127" xr:uid="{FD98C098-A658-42BB-A794-5C6354A74F3C}"/>
    <cellStyle name="Comma 3 6" xfId="32" xr:uid="{1630153D-CF02-4290-B16C-8B28A6DB2A52}"/>
    <cellStyle name="Comma 4" xfId="72" xr:uid="{1C5D158F-FB75-4692-8514-A58CE230B342}"/>
    <cellStyle name="Comma 4 2" xfId="108" xr:uid="{9B80230C-1D07-43BC-8F24-8CE081BE9429}"/>
    <cellStyle name="Comma 4 3" xfId="152" xr:uid="{35BFFEB3-45A7-4C44-801D-C8FC8160F0C9}"/>
    <cellStyle name="Comma 5" xfId="68" xr:uid="{143A8ABA-A324-44BD-80CE-55CCB5FFE6AB}"/>
    <cellStyle name="Comma 5 2" xfId="107" xr:uid="{7874A39F-95BC-4DDA-81F1-C4CAA6D392F5}"/>
    <cellStyle name="Comma 5 3" xfId="134" xr:uid="{8BD925D1-0D37-4862-A0B0-D8EFF0CC90EC}"/>
    <cellStyle name="Comma 6" xfId="94" xr:uid="{D2E00A7C-A633-481A-B789-836FB092246B}"/>
    <cellStyle name="Comma 6 2" xfId="113" xr:uid="{4ACC7474-517F-455B-81D6-F98106E279EF}"/>
    <cellStyle name="Comma 6 3" xfId="147" xr:uid="{DACFA94B-7955-451E-8588-ED53CF1F2BAB}"/>
    <cellStyle name="Comma 7" xfId="119" xr:uid="{0623E7CD-A944-454F-AE28-DF864503ADC0}"/>
    <cellStyle name="Comma 8" xfId="12" xr:uid="{A982705F-3ECA-4E8D-A538-1977C0DD13EE}"/>
    <cellStyle name="Explanatory Text 2" xfId="16" xr:uid="{A32992D6-61E6-47B5-8794-5FFB1BC55178}"/>
    <cellStyle name="External" xfId="133" xr:uid="{AE2AD695-C3BB-4A48-90E5-8979A7DD561D}"/>
    <cellStyle name="Heading 4" xfId="3" builtinId="19"/>
    <cellStyle name="Hyperlink" xfId="6" builtinId="8"/>
    <cellStyle name="Hyperlink 2" xfId="26" xr:uid="{928C5028-7B93-4FDF-B352-CAFE3372E1E2}"/>
    <cellStyle name="Hyperlink 2 2" xfId="60" xr:uid="{713FD144-2F6F-4314-9C07-A5A4F7192A65}"/>
    <cellStyle name="Hyperlink 2 2 2" xfId="66" xr:uid="{2FC69D00-9506-4F9D-BFB8-4EBCCD3E6163}"/>
    <cellStyle name="Hyperlink 2 3" xfId="43" xr:uid="{87742C8A-3659-493E-B50E-32458738EDEB}"/>
    <cellStyle name="Hyperlink 3" xfId="50" xr:uid="{98D14FB9-699D-42E1-B78F-1A886D938062}"/>
    <cellStyle name="Hyperlink 3 2" xfId="122" xr:uid="{961B96A5-640E-4FED-BEDC-1305CF17A1F4}"/>
    <cellStyle name="Hyperlink 4" xfId="132" xr:uid="{27091C93-B7FE-46C6-87C2-FB2F90D48DC1}"/>
    <cellStyle name="Hyperlink 5" xfId="140" xr:uid="{9268034A-2906-4B26-9371-538B0BC5F2EA}"/>
    <cellStyle name="Input 2" xfId="65" xr:uid="{DECDC13D-9741-46DA-A43B-AD04CDC24492}"/>
    <cellStyle name="IPCC" xfId="25" xr:uid="{31893719-C82C-4F10-BF84-65BAFD9FE1A2}"/>
    <cellStyle name="Linked" xfId="135" xr:uid="{D74B960E-2E76-45C7-8183-870419D7E467}"/>
    <cellStyle name="Neutral 2" xfId="76" xr:uid="{A21430DE-EC9E-4984-A32E-782831D1E802}"/>
    <cellStyle name="Normal" xfId="0" builtinId="0"/>
    <cellStyle name="Normal 10" xfId="34" xr:uid="{3D887EC9-8844-4DDA-B599-9F47BE6FD99F}"/>
    <cellStyle name="Normal 10 4" xfId="42" xr:uid="{5771FC1B-5B81-4F47-B1E2-571E95C72EF3}"/>
    <cellStyle name="Normal 11" xfId="10" xr:uid="{32C52999-589E-4CA8-A167-FC615BAA0D80}"/>
    <cellStyle name="Normal 12" xfId="31" xr:uid="{F9A3D7F5-E12A-40E8-82A8-50A0F0726F24}"/>
    <cellStyle name="Normal 12 2" xfId="53" xr:uid="{EFFD3B6E-789C-4037-BD26-84E5270561A6}"/>
    <cellStyle name="Normal 13" xfId="9" xr:uid="{36DB5186-784C-4719-BA87-07EA2EBAA872}"/>
    <cellStyle name="Normal 14" xfId="158" xr:uid="{5C1FE262-C90C-44A4-9A6C-6E4C90573F64}"/>
    <cellStyle name="Normal 2" xfId="5" xr:uid="{F5B52476-287E-462A-8889-8E2651FE9859}"/>
    <cellStyle name="Normal 2 2" xfId="13" xr:uid="{84A6DF01-99AE-43DF-A413-7EE4629B7ADE}"/>
    <cellStyle name="Normal 2 2 2" xfId="35" xr:uid="{C5F16AED-3DD6-4DDD-A4E5-6589DE29FC41}"/>
    <cellStyle name="Normal 2 2 2 2" xfId="41" xr:uid="{06E860A7-EC7D-4B90-87BE-8C054C0EEA24}"/>
    <cellStyle name="Normal 2 2 3" xfId="51" xr:uid="{D8CB768E-F8DC-44AB-A206-0D00D4AC1C2B}"/>
    <cellStyle name="Normal 2 2 4" xfId="36" xr:uid="{B496E0C4-EF40-431C-8F25-FFA0D4C5027E}"/>
    <cellStyle name="Normal 2 3" xfId="46" xr:uid="{E33203BD-57A2-4964-B0E8-E893669AA0FB}"/>
    <cellStyle name="Normal 2 3 2" xfId="63" xr:uid="{C0036233-BA35-4CA1-B309-B9ADAB9E2277}"/>
    <cellStyle name="Normal 2 4" xfId="115" xr:uid="{8F5BE9FE-B323-4B38-B628-AA76A3CF213B}"/>
    <cellStyle name="Normal 2 5" xfId="14" xr:uid="{B0CAC3C6-7C04-45D4-B023-151789AE8E72}"/>
    <cellStyle name="Normal 3" xfId="15" xr:uid="{65D99FF7-28DE-45C2-8685-CE9015D534CE}"/>
    <cellStyle name="Normal 3 2" xfId="52" xr:uid="{855BE1A6-20FE-4487-8979-3C5C24B4C47D}"/>
    <cellStyle name="Normal 3 2 2" xfId="141" xr:uid="{45E35DD0-FBD2-45C2-A52E-3A3CFAD2222C}"/>
    <cellStyle name="Normal 3 2 3" xfId="124" xr:uid="{8716284A-C883-409E-99A0-B5ABA4E34D61}"/>
    <cellStyle name="Normal 3 3" xfId="37" xr:uid="{C85A7D72-2A8D-48C9-AEEB-ED459920387F}"/>
    <cellStyle name="Normal 3 4" xfId="117" xr:uid="{C402F5D0-1446-4BC1-9163-43166932A0F7}"/>
    <cellStyle name="Normal 4" xfId="30" xr:uid="{5F90D0A5-807C-4DEE-A723-BD65206D2630}"/>
    <cellStyle name="Normal 4 2" xfId="78" xr:uid="{32123945-E996-47AD-888C-D0E3FE162EAA}"/>
    <cellStyle name="Normal 4 2 2" xfId="154" xr:uid="{2CAD1868-CF68-4DD8-997B-3E0D00946DEF}"/>
    <cellStyle name="Normal 4 2 3" xfId="128" xr:uid="{EFE0C074-E194-42C1-BF48-E2C50E1CD324}"/>
    <cellStyle name="Normal 4 3" xfId="58" xr:uid="{A6418442-308E-4909-9884-CC466A2A33F7}"/>
    <cellStyle name="Normal 4 4" xfId="77" xr:uid="{62B93A27-3425-45A3-8C26-7F4AD9C32738}"/>
    <cellStyle name="Normal 4 5" xfId="44" xr:uid="{FEECB0A7-CEB5-4688-9012-61B594D4B055}"/>
    <cellStyle name="Normal 4 6" xfId="98" xr:uid="{95D84ABA-1C75-4330-A3CF-300CE86D1877}"/>
    <cellStyle name="Normal 5" xfId="29" xr:uid="{9B95EADC-21A3-432D-B22E-E686E40FE9B0}"/>
    <cellStyle name="Normal 5 2" xfId="55" xr:uid="{0FF2D6AC-1A1B-4A39-BA02-C4E0F467371B}"/>
    <cellStyle name="Normal 5 3" xfId="120" xr:uid="{BE8F6442-FB76-4AF9-9DA1-DC38AF132933}"/>
    <cellStyle name="Normal 6" xfId="54" xr:uid="{BAC23B7E-E823-46E8-9824-C4199108DF98}"/>
    <cellStyle name="Normal 6 2" xfId="142" xr:uid="{A57095C7-F618-423C-9BAC-B035CEF9A510}"/>
    <cellStyle name="Normal 6 3" xfId="121" xr:uid="{45B3BB2B-124F-4396-B74F-5E3F4C622553}"/>
    <cellStyle name="Normal 7" xfId="22" xr:uid="{92F248ED-A22E-44B4-97D2-0B187AF5E6E8}"/>
    <cellStyle name="Normal 7 2" xfId="56" xr:uid="{A75E5E71-4F9B-496E-8CD8-FC4015075ED5}"/>
    <cellStyle name="Normal 7 3" xfId="131" xr:uid="{4162361C-8205-4BB8-B4D2-0A627DD38D04}"/>
    <cellStyle name="Normal 8" xfId="23" xr:uid="{F792A751-9055-4433-AB0D-2915EE2F76E1}"/>
    <cellStyle name="Normal 8 2" xfId="79" xr:uid="{7B8F2C10-3831-45B4-9DAE-1EC77C728677}"/>
    <cellStyle name="Normal 8 2 2" xfId="129" xr:uid="{D00C10BD-4F8B-41DB-86A5-7563F8F2BCAF}"/>
    <cellStyle name="Normal 8 2 3" xfId="155" xr:uid="{390074C8-7A27-42AE-A285-5B63B3FC2288}"/>
    <cellStyle name="Normal 8 3" xfId="126" xr:uid="{2BD7B854-4432-4376-A551-A7B3F89982EE}"/>
    <cellStyle name="Normal 8 4" xfId="148" xr:uid="{E14DBF78-EEB7-4775-97ED-46EDDB5ACA5E}"/>
    <cellStyle name="Normal 9" xfId="70" xr:uid="{D9221083-3F1D-4206-946A-D4FC48E7F064}"/>
    <cellStyle name="Normal 9 2" xfId="80" xr:uid="{AEF4303F-95DD-4844-A885-8CAAE7E61A6D}"/>
    <cellStyle name="Normal 9 3" xfId="150" xr:uid="{E88A66D1-5FAB-4088-A6CC-9F77CB398B98}"/>
    <cellStyle name="Normale_B2020" xfId="81" xr:uid="{5D52A13E-413F-47A7-8CA7-1CCDBC5E7CE1}"/>
    <cellStyle name="Percent" xfId="2" builtinId="5"/>
    <cellStyle name="Percent 2" xfId="18" xr:uid="{E819DB13-91BC-4360-B536-F3B4B8034577}"/>
    <cellStyle name="Percent 2 2" xfId="24" xr:uid="{04252D3D-3DD8-4151-B4F6-EC0989FF58B2}"/>
    <cellStyle name="Percent 2 2 2" xfId="49" xr:uid="{CD132702-3A5A-49B7-BBB0-B8F9C11E7C99}"/>
    <cellStyle name="Percent 2 3" xfId="57" xr:uid="{14C3444D-83B8-466E-B14F-AE5C69102D32}"/>
    <cellStyle name="Percent 2 4" xfId="82" xr:uid="{D7975A47-192B-4B5F-BB75-E140F22DBF91}"/>
    <cellStyle name="Percent 2 5" xfId="45" xr:uid="{E095D742-83DE-4A1E-BF9F-BA66B86BEF8B}"/>
    <cellStyle name="Percent 2 6" xfId="116" xr:uid="{7CCE1D4E-3107-4069-A300-4437AD142D79}"/>
    <cellStyle name="Percent 3" xfId="33" xr:uid="{560BFC13-AB0E-4517-91A7-C563A03422E1}"/>
    <cellStyle name="Percent 3 2" xfId="83" xr:uid="{87F40B0B-0CC2-40B5-BAA2-557038F7A5DA}"/>
    <cellStyle name="Percent 3 2 2" xfId="156" xr:uid="{E8801205-9FE0-40C6-A513-A08076573311}"/>
    <cellStyle name="Percent 3 2 3" xfId="125" xr:uid="{13160ED8-684A-4067-B60A-F383CEDAA7FE}"/>
    <cellStyle name="Percent 3 3" xfId="84" xr:uid="{BE8DED18-5D0D-4952-BFC2-E2176F25250C}"/>
    <cellStyle name="Percent 3 4" xfId="40" xr:uid="{4A8DDD20-3818-40E3-8539-0EB4B09A8403}"/>
    <cellStyle name="Percent 3 5" xfId="118" xr:uid="{088CAADF-AABD-44AA-90A5-43A3C7A632FE}"/>
    <cellStyle name="Percent 4" xfId="69" xr:uid="{890E2BBA-C5CF-43FC-ABC4-9B1A4DEF34AE}"/>
    <cellStyle name="Percent 4 2" xfId="86" xr:uid="{B76A5B77-40D3-409D-8329-9C571570816D}"/>
    <cellStyle name="Percent 4 2 2" xfId="157" xr:uid="{8FE92F23-6A09-44B1-9F58-20E952C7E361}"/>
    <cellStyle name="Percent 4 2 3" xfId="130" xr:uid="{16529277-3D13-40FB-9C34-39D1237229BC}"/>
    <cellStyle name="Percent 4 3" xfId="87" xr:uid="{48DA01B3-CF2D-4EE8-8624-1D30FCAC6F95}"/>
    <cellStyle name="Percent 4 4" xfId="85" xr:uid="{0BD06605-377F-4A4E-A8B0-C01169C46BC9}"/>
    <cellStyle name="Percent 4 5" xfId="149" xr:uid="{17151478-6E53-46FC-B4A4-2AACA5810454}"/>
    <cellStyle name="Percent 5" xfId="71" xr:uid="{174BC739-343F-4C21-B410-49BDF1C028B5}"/>
    <cellStyle name="Percent 5 2" xfId="88" xr:uid="{1DAEAA4C-2543-433E-BB68-D82EA6A17FAF}"/>
    <cellStyle name="Percent 5 3" xfId="151" xr:uid="{458952B5-6DEE-4947-AE09-FC865FE65977}"/>
    <cellStyle name="Percent 5 4" xfId="123" xr:uid="{377B1CD5-8295-414B-9CD9-3B8533533209}"/>
    <cellStyle name="Percent 6" xfId="89" xr:uid="{A2C950A5-6E52-4A98-BE7A-AED41B184323}"/>
    <cellStyle name="Percent 7" xfId="67" xr:uid="{CA227F93-F4C9-4C56-B553-5D079F4D82E2}"/>
    <cellStyle name="Percent 7 2" xfId="96" xr:uid="{06FA4879-2F21-4FD2-ACA5-183A12107625}"/>
    <cellStyle name="Percent 8" xfId="146" xr:uid="{077F246E-9B62-4CEA-B7E1-DC18FA252C63}"/>
    <cellStyle name="Standard_Sce_D_Extraction" xfId="90" xr:uid="{78CCE871-5D2A-45E5-B60F-9E26F6114C8E}"/>
  </cellStyles>
  <dxfs count="4">
    <dxf>
      <font>
        <b/>
        <i val="0"/>
      </font>
      <fill>
        <patternFill>
          <bgColor rgb="FFD7D7D7"/>
        </patternFill>
      </fill>
    </dxf>
    <dxf>
      <font>
        <b val="0"/>
        <i val="0"/>
      </font>
      <fill>
        <patternFill patternType="none">
          <bgColor indexed="65"/>
        </patternFill>
      </fill>
    </dxf>
    <dxf>
      <font>
        <b val="0"/>
        <i val="0"/>
        <strike val="0"/>
        <condense val="0"/>
        <extend val="0"/>
        <outline val="0"/>
        <shadow val="0"/>
        <u val="none"/>
        <vertAlign val="baseline"/>
        <sz val="11"/>
        <color theme="1"/>
        <name val="Aptos Narrow"/>
        <family val="2"/>
        <scheme val="minor"/>
      </font>
    </dxf>
    <dxf>
      <font>
        <b/>
        <i val="0"/>
        <strike val="0"/>
        <condense val="0"/>
        <extend val="0"/>
        <outline val="0"/>
        <shadow val="0"/>
        <u val="none"/>
        <vertAlign val="baseline"/>
        <sz val="11"/>
        <color theme="1"/>
        <name val="Aptos Narrow"/>
        <family val="2"/>
        <scheme val="minor"/>
      </font>
    </dxf>
  </dxfs>
  <tableStyles count="1" defaultTableStyle="TableStyleMedium2" defaultPivotStyle="PivotStyleLight16">
    <tableStyle name="MySqlDefault" pivot="0" table="0" count="2" xr9:uid="{8E4F4C77-D48F-4E80-8F38-3AC30F90443C}">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1</xdr:col>
      <xdr:colOff>285750</xdr:colOff>
      <xdr:row>1</xdr:row>
      <xdr:rowOff>38100</xdr:rowOff>
    </xdr:from>
    <xdr:to>
      <xdr:col>11</xdr:col>
      <xdr:colOff>323850</xdr:colOff>
      <xdr:row>8</xdr:row>
      <xdr:rowOff>133350</xdr:rowOff>
    </xdr:to>
    <xdr:sp macro="" textlink="">
      <xdr:nvSpPr>
        <xdr:cNvPr id="2" name="TextBox 1">
          <a:extLst>
            <a:ext uri="{FF2B5EF4-FFF2-40B4-BE49-F238E27FC236}">
              <a16:creationId xmlns:a16="http://schemas.microsoft.com/office/drawing/2014/main" id="{6D105417-BCCE-415E-9578-06B526E2DC44}"/>
            </a:ext>
          </a:extLst>
        </xdr:cNvPr>
        <xdr:cNvSpPr txBox="1"/>
      </xdr:nvSpPr>
      <xdr:spPr>
        <a:xfrm>
          <a:off x="895350" y="220980"/>
          <a:ext cx="11574780" cy="13754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ZA" sz="1100" b="1"/>
            <a:t>11 July 2024</a:t>
          </a:r>
        </a:p>
        <a:p>
          <a:endParaRPr lang="en-ZA" sz="1100"/>
        </a:p>
        <a:p>
          <a:r>
            <a:rPr lang="en-ZA" sz="1100"/>
            <a:t>Parameters for the SATIM implementation</a:t>
          </a:r>
          <a:r>
            <a:rPr lang="en-ZA" sz="1100" baseline="0"/>
            <a:t> of the greenquest process for producing LFG from hydrogen and CO2.</a:t>
          </a:r>
        </a:p>
        <a:p>
          <a:endParaRPr lang="en-ZA" sz="1100" baseline="0"/>
        </a:p>
        <a:p>
          <a:r>
            <a:rPr lang="en-ZA" sz="1100" baseline="0"/>
            <a:t>Will have two versions implemented: one where it's one process block, and one where we have two process blocks where the first process produces methanol (an intermediate product of this setup) and the second block produces the LFG using the methanol. The methanol can then also be used for our base chemicals demand in the model. </a:t>
          </a:r>
        </a:p>
        <a:p>
          <a:endParaRPr lang="en-ZA" sz="1100" baseline="0"/>
        </a:p>
        <a:p>
          <a:endParaRPr lang="en-ZA" sz="1100"/>
        </a:p>
      </xdr:txBody>
    </xdr:sp>
    <xdr:clientData/>
  </xdr:twoCellAnchor>
</xdr:wsDr>
</file>

<file path=xl/drawings/drawing2.xml><?xml version="1.0" encoding="utf-8"?>
<xdr:wsDr xmlns:xdr="http://schemas.openxmlformats.org/drawingml/2006/spreadsheetDrawing" xmlns:a="http://schemas.openxmlformats.org/drawingml/2006/main">
  <xdr:oneCellAnchor>
    <xdr:from>
      <xdr:col>15</xdr:col>
      <xdr:colOff>37653</xdr:colOff>
      <xdr:row>13</xdr:row>
      <xdr:rowOff>125280</xdr:rowOff>
    </xdr:from>
    <xdr:ext cx="7351506" cy="3638775"/>
    <xdr:pic>
      <xdr:nvPicPr>
        <xdr:cNvPr id="2" name="Picture 1">
          <a:extLst>
            <a:ext uri="{FF2B5EF4-FFF2-40B4-BE49-F238E27FC236}">
              <a16:creationId xmlns:a16="http://schemas.microsoft.com/office/drawing/2014/main" id="{B30A0355-1AD9-4348-BD83-401924B1298C}"/>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793533" y="2586540"/>
          <a:ext cx="7351506" cy="3638775"/>
        </a:xfrm>
        <a:prstGeom prst="rect">
          <a:avLst/>
        </a:prstGeom>
        <a:noFill/>
        <a:ln>
          <a:noFill/>
        </a:ln>
      </xdr:spPr>
    </xdr:pic>
    <xdr:clientData/>
  </xdr:oneCellAnchor>
  <xdr:twoCellAnchor>
    <xdr:from>
      <xdr:col>11</xdr:col>
      <xdr:colOff>204107</xdr:colOff>
      <xdr:row>37</xdr:row>
      <xdr:rowOff>54428</xdr:rowOff>
    </xdr:from>
    <xdr:to>
      <xdr:col>13</xdr:col>
      <xdr:colOff>408213</xdr:colOff>
      <xdr:row>40</xdr:row>
      <xdr:rowOff>163286</xdr:rowOff>
    </xdr:to>
    <xdr:sp macro="" textlink="">
      <xdr:nvSpPr>
        <xdr:cNvPr id="3" name="Arrow: Right 2">
          <a:extLst>
            <a:ext uri="{FF2B5EF4-FFF2-40B4-BE49-F238E27FC236}">
              <a16:creationId xmlns:a16="http://schemas.microsoft.com/office/drawing/2014/main" id="{AE6F3101-307C-40FD-BC4D-6D0228ADC2DF}"/>
            </a:ext>
          </a:extLst>
        </xdr:cNvPr>
        <xdr:cNvSpPr/>
      </xdr:nvSpPr>
      <xdr:spPr>
        <a:xfrm rot="10800000">
          <a:off x="10521587" y="6988628"/>
          <a:ext cx="1423306" cy="657498"/>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ZA"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285750</xdr:colOff>
      <xdr:row>1</xdr:row>
      <xdr:rowOff>38100</xdr:rowOff>
    </xdr:from>
    <xdr:to>
      <xdr:col>11</xdr:col>
      <xdr:colOff>323850</xdr:colOff>
      <xdr:row>11</xdr:row>
      <xdr:rowOff>38100</xdr:rowOff>
    </xdr:to>
    <xdr:sp macro="" textlink="">
      <xdr:nvSpPr>
        <xdr:cNvPr id="2" name="TextBox 1">
          <a:extLst>
            <a:ext uri="{FF2B5EF4-FFF2-40B4-BE49-F238E27FC236}">
              <a16:creationId xmlns:a16="http://schemas.microsoft.com/office/drawing/2014/main" id="{53330A75-032F-4451-A35E-EAF8587B8BB8}"/>
            </a:ext>
          </a:extLst>
        </xdr:cNvPr>
        <xdr:cNvSpPr txBox="1"/>
      </xdr:nvSpPr>
      <xdr:spPr>
        <a:xfrm>
          <a:off x="895350" y="220980"/>
          <a:ext cx="11971020" cy="1828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ZA" sz="1100" b="1"/>
            <a:t>11 July 2024</a:t>
          </a:r>
        </a:p>
        <a:p>
          <a:endParaRPr lang="en-ZA" sz="1100"/>
        </a:p>
        <a:p>
          <a:r>
            <a:rPr lang="en-ZA" sz="1100"/>
            <a:t>Parameters for the SATIM implementation</a:t>
          </a:r>
          <a:r>
            <a:rPr lang="en-ZA" sz="1100" baseline="0"/>
            <a:t> of the greenquest process for producing LFG from hydrogen and CO2.</a:t>
          </a:r>
        </a:p>
        <a:p>
          <a:endParaRPr lang="en-ZA" sz="1100" baseline="0"/>
        </a:p>
        <a:p>
          <a:r>
            <a:rPr lang="en-ZA" sz="1100" baseline="0"/>
            <a:t>Will have two versions implemented: one where it's one process block, and one where we have two process blocks where the first process produces methanol (an intermediate product of this setup) and the second block produces the LFG using the methanol. The methanol can then also be used for our base chemicals demand in the model. </a:t>
          </a:r>
        </a:p>
        <a:p>
          <a:endParaRPr lang="en-ZA" sz="1100" baseline="0"/>
        </a:p>
        <a:p>
          <a:endParaRPr lang="en-ZA" sz="1100"/>
        </a:p>
      </xdr:txBody>
    </xdr:sp>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n_nos\Downloads\GQ%20process%20numbers%20for%20SATIM%20input.xlsx" TargetMode="External"/><Relationship Id="rId1" Type="http://schemas.openxmlformats.org/officeDocument/2006/relationships/externalLinkPath" Target="https://uctcloud-my.sharepoint.com/Users/n_nos/Downloads/GQ%20process%20numbers%20for%20SATIM%20input.xlsx"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file:///C:\Models\SATIMGE_Veda\SubRes_TMPL\SubRES_GreenQuest-Two%20step.xlsx" TargetMode="External"/><Relationship Id="rId1" Type="http://schemas.openxmlformats.org/officeDocument/2006/relationships/externalLinkPath" Target="https://uctcloud-my.sharepoint.com/personal/01425453_wf_uct_ac_za/Documents/laptop_transfer/SubRES_GreenQuest-Two%20step.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RES"/>
      <sheetName val="Definitions"/>
      <sheetName val="GQLFG process"/>
      <sheetName val="H2 Storage"/>
      <sheetName val="CO2 storage"/>
      <sheetName val="Summary mass flow of process"/>
      <sheetName val="Electricity duties"/>
      <sheetName val="Sheet1"/>
      <sheetName val="GQLFG process older"/>
    </sheetNames>
    <sheetDataSet>
      <sheetData sheetId="0">
        <row r="3">
          <cell r="M3" t="str">
            <v>Hydrogen for GreenQuest process</v>
          </cell>
        </row>
        <row r="20">
          <cell r="S20" t="str">
            <v>GQLFG</v>
          </cell>
        </row>
        <row r="27">
          <cell r="S27" t="str">
            <v>CO2STORGQ</v>
          </cell>
        </row>
      </sheetData>
      <sheetData sheetId="1"/>
      <sheetData sheetId="2"/>
      <sheetData sheetId="3"/>
      <sheetData sheetId="4"/>
      <sheetData sheetId="5">
        <row r="7">
          <cell r="C7">
            <v>464993.30243025097</v>
          </cell>
        </row>
        <row r="8">
          <cell r="C8">
            <v>63897</v>
          </cell>
        </row>
        <row r="21">
          <cell r="C21">
            <v>104280.73639707407</v>
          </cell>
          <cell r="G21">
            <v>43.398871288482624</v>
          </cell>
        </row>
        <row r="25">
          <cell r="C25">
            <v>1257.1295157680008</v>
          </cell>
        </row>
      </sheetData>
      <sheetData sheetId="6">
        <row r="12">
          <cell r="E12">
            <v>222.45458625952443</v>
          </cell>
        </row>
      </sheetData>
      <sheetData sheetId="7"/>
      <sheetData sheetId="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RES"/>
      <sheetName val="RES (no CO2storage)"/>
      <sheetName val="Definitions"/>
      <sheetName val="GQMEOH process "/>
      <sheetName val="GQLFG process"/>
      <sheetName val="H2 Storage"/>
      <sheetName val="CO2 storage"/>
      <sheetName val="Summary mass flow of process"/>
      <sheetName val="Electricity duties"/>
      <sheetName val="Sheet1"/>
      <sheetName val="GQLFG process older"/>
      <sheetName val="Old Case 4a"/>
      <sheetName val="Flow rate"/>
    </sheetNames>
    <sheetDataSet>
      <sheetData sheetId="0">
        <row r="3">
          <cell r="AG3" t="str">
            <v>Water from separation and RWGS</v>
          </cell>
        </row>
      </sheetData>
      <sheetData sheetId="1"/>
      <sheetData sheetId="2"/>
      <sheetData sheetId="3"/>
      <sheetData sheetId="4"/>
      <sheetData sheetId="5"/>
      <sheetData sheetId="6"/>
      <sheetData sheetId="7"/>
      <sheetData sheetId="8"/>
      <sheetData sheetId="9"/>
      <sheetData sheetId="10"/>
      <sheetData sheetId="11"/>
      <sheetData sheetId="12"/>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5F1C33D-294B-4A87-B8F9-7092E82D5A6F}" name="Table4" displayName="Table4" ref="B8:D10" totalsRowShown="0" headerRowDxfId="3">
  <autoFilter ref="B8:D10" xr:uid="{34D64E3B-1AA7-4CAD-ABC6-225545BD628B}"/>
  <tableColumns count="3">
    <tableColumn id="1" xr3:uid="{B37E5A93-3E66-4185-BBB6-588F0FC702E9}" name="Item" dataDxfId="2"/>
    <tableColumn id="2" xr3:uid="{A8C9AA1A-CD62-4B52-822C-03699B31E527}" name="Unit"/>
    <tableColumn id="3" xr3:uid="{D9191C2A-D373-4219-9C99-0FD927869D63}" name="value"/>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hyperlink" Target="https://doi.org/10.1016/j.xcrp.2020.100174" TargetMode="External"/><Relationship Id="rId1" Type="http://schemas.openxmlformats.org/officeDocument/2006/relationships/hyperlink" Target="https://www.hydrogen.energy.gov/pdfs/review19/st001_ahluwalia_2019_o.pdf" TargetMode="External"/><Relationship Id="rId4" Type="http://schemas.openxmlformats.org/officeDocument/2006/relationships/table" Target="../tables/table1.xml"/></Relationships>
</file>

<file path=xl/worksheets/_rels/sheet7.xml.rels><?xml version="1.0" encoding="UTF-8" standalone="yes"?>
<Relationships xmlns="http://schemas.openxmlformats.org/package/2006/relationships"><Relationship Id="rId2" Type="http://schemas.openxmlformats.org/officeDocument/2006/relationships/hyperlink" Target="https://www.researchgate.net/publication/349961233_Energy_and_Thermal_Conductivity_Assessment_of_Dimethyl-Ether_and_its_Azeotropic_Mixtures_as_Alternative_Low_Global_Warming_Potential_Refrigerants_in_a_Refrigeration_System" TargetMode="External"/><Relationship Id="rId1" Type="http://schemas.openxmlformats.org/officeDocument/2006/relationships/hyperlink" Target="../../Users/n_nos/Downloads/110-2021BolajietalEnergyandThermalCondECT25112-28.pdf" TargetMode="Externa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C9B950-166C-466C-9562-F03C388B5B33}">
  <sheetPr>
    <tabColor theme="9"/>
  </sheetPr>
  <dimension ref="B1:AC41"/>
  <sheetViews>
    <sheetView zoomScale="85" zoomScaleNormal="85" workbookViewId="0">
      <selection activeCell="U4" sqref="U4"/>
    </sheetView>
  </sheetViews>
  <sheetFormatPr defaultColWidth="9.140625" defaultRowHeight="15"/>
  <cols>
    <col min="1" max="1" width="9.140625" style="1"/>
    <col min="2" max="2" width="6.28515625" style="1" customWidth="1"/>
    <col min="3" max="3" width="9.140625" style="1"/>
    <col min="4" max="4" width="5.85546875" style="1" customWidth="1"/>
    <col min="5" max="5" width="20.5703125" style="1" customWidth="1"/>
    <col min="6" max="6" width="8" style="1" customWidth="1"/>
    <col min="7" max="9" width="9.140625" style="1"/>
    <col min="10" max="10" width="20.140625" style="1" customWidth="1"/>
    <col min="11" max="12" width="9.140625" style="1"/>
    <col min="13" max="13" width="3.7109375" style="1" bestFit="1" customWidth="1"/>
    <col min="14" max="14" width="9.140625" style="1"/>
    <col min="15" max="15" width="3.7109375" style="1" bestFit="1" customWidth="1"/>
    <col min="16" max="16" width="11.42578125" style="4" customWidth="1"/>
    <col min="17" max="17" width="3.7109375" style="1" bestFit="1" customWidth="1"/>
    <col min="18" max="18" width="14" style="1" customWidth="1"/>
    <col min="19" max="19" width="29.7109375" style="1" customWidth="1"/>
    <col min="20" max="23" width="9.140625" style="1"/>
    <col min="24" max="24" width="5" style="1" customWidth="1"/>
    <col min="25" max="26" width="9.140625" style="1"/>
    <col min="27" max="27" width="27.140625" style="1" customWidth="1"/>
    <col min="28" max="16384" width="9.140625" style="1"/>
  </cols>
  <sheetData>
    <row r="1" spans="2:29">
      <c r="E1" s="2" t="s">
        <v>5</v>
      </c>
      <c r="F1" s="2"/>
      <c r="G1" s="3"/>
      <c r="H1" s="2" t="s">
        <v>6</v>
      </c>
      <c r="I1" s="2"/>
      <c r="J1" s="2"/>
      <c r="K1" s="2"/>
      <c r="L1" s="2"/>
    </row>
    <row r="2" spans="2:29">
      <c r="G2" s="3"/>
    </row>
    <row r="3" spans="2:29" ht="162.75">
      <c r="B3" s="5" t="s">
        <v>7</v>
      </c>
      <c r="D3" s="5" t="s">
        <v>8</v>
      </c>
      <c r="F3" s="5" t="s">
        <v>9</v>
      </c>
      <c r="G3" s="3"/>
      <c r="M3" s="5" t="s">
        <v>10</v>
      </c>
      <c r="N3" s="6"/>
      <c r="O3" s="5"/>
      <c r="P3" s="6"/>
      <c r="U3" s="5" t="s">
        <v>267</v>
      </c>
      <c r="X3" s="5" t="s">
        <v>11</v>
      </c>
      <c r="AC3" s="5" t="s">
        <v>12</v>
      </c>
    </row>
    <row r="4" spans="2:29" ht="50.25" customHeight="1">
      <c r="B4" s="7" t="s">
        <v>13</v>
      </c>
      <c r="D4" s="7" t="s">
        <v>14</v>
      </c>
      <c r="F4" s="7" t="s">
        <v>15</v>
      </c>
      <c r="G4" s="3"/>
      <c r="M4" s="7" t="s">
        <v>16</v>
      </c>
      <c r="O4" s="7"/>
      <c r="U4" s="7" t="s">
        <v>157</v>
      </c>
      <c r="X4" s="7" t="s">
        <v>17</v>
      </c>
      <c r="AC4" s="7" t="s">
        <v>18</v>
      </c>
    </row>
    <row r="5" spans="2:29">
      <c r="B5" s="8"/>
      <c r="D5" s="8"/>
      <c r="F5" s="8"/>
      <c r="G5" s="3"/>
      <c r="M5" s="8"/>
      <c r="O5" s="8"/>
      <c r="U5" s="8"/>
      <c r="X5" s="8"/>
      <c r="AC5" s="8"/>
    </row>
    <row r="6" spans="2:29">
      <c r="B6" s="8"/>
      <c r="D6" s="8"/>
      <c r="F6" s="8"/>
      <c r="G6" s="9"/>
      <c r="H6" s="10"/>
      <c r="I6" s="10"/>
      <c r="J6" s="11" t="s">
        <v>19</v>
      </c>
      <c r="K6" s="10"/>
      <c r="L6" s="10"/>
      <c r="M6" s="12"/>
      <c r="O6" s="8"/>
      <c r="U6" s="8"/>
      <c r="X6" s="8"/>
      <c r="AC6" s="8"/>
    </row>
    <row r="7" spans="2:29">
      <c r="B7" s="8"/>
      <c r="D7" s="8"/>
      <c r="F7" s="8"/>
      <c r="G7" s="3"/>
      <c r="J7" s="13"/>
      <c r="M7" s="8"/>
      <c r="O7" s="8"/>
      <c r="U7" s="8"/>
      <c r="X7" s="8"/>
      <c r="AC7" s="8"/>
    </row>
    <row r="8" spans="2:29">
      <c r="B8" s="8"/>
      <c r="D8" s="8"/>
      <c r="F8" s="8"/>
      <c r="G8" s="3"/>
      <c r="J8" s="14" t="s">
        <v>20</v>
      </c>
      <c r="M8" s="8"/>
      <c r="O8" s="8"/>
      <c r="U8" s="8"/>
      <c r="X8" s="8"/>
      <c r="AC8" s="8"/>
    </row>
    <row r="9" spans="2:29">
      <c r="B9" s="8"/>
      <c r="D9" s="8"/>
      <c r="F9" s="8"/>
      <c r="G9" s="3"/>
      <c r="J9" s="13"/>
      <c r="M9" s="8"/>
      <c r="O9" s="8"/>
      <c r="U9" s="8"/>
      <c r="X9" s="8"/>
      <c r="AC9" s="8"/>
    </row>
    <row r="10" spans="2:29">
      <c r="B10" s="8"/>
      <c r="D10" s="8"/>
      <c r="F10" s="8"/>
      <c r="G10" s="3"/>
      <c r="J10" s="15"/>
      <c r="M10" s="8"/>
      <c r="O10" s="8"/>
      <c r="U10" s="8"/>
      <c r="X10" s="8"/>
      <c r="AC10" s="8"/>
    </row>
    <row r="11" spans="2:29">
      <c r="B11" s="8"/>
      <c r="D11" s="8"/>
      <c r="F11" s="8"/>
      <c r="G11" s="3"/>
      <c r="M11" s="8"/>
      <c r="O11" s="8"/>
      <c r="U11" s="8"/>
      <c r="X11" s="8"/>
      <c r="AC11" s="8"/>
    </row>
    <row r="12" spans="2:29">
      <c r="B12" s="8"/>
      <c r="D12" s="8"/>
      <c r="F12" s="8"/>
      <c r="G12" s="3"/>
      <c r="M12" s="8"/>
      <c r="O12" s="8"/>
      <c r="U12" s="8"/>
      <c r="X12" s="8"/>
      <c r="AC12" s="8"/>
    </row>
    <row r="13" spans="2:29">
      <c r="B13" s="8"/>
      <c r="D13" s="8"/>
      <c r="F13" s="8"/>
      <c r="G13" s="3"/>
      <c r="M13" s="8"/>
      <c r="O13" s="8"/>
      <c r="U13" s="8"/>
      <c r="X13" s="8"/>
      <c r="AC13" s="8"/>
    </row>
    <row r="14" spans="2:29">
      <c r="B14" s="8"/>
      <c r="D14" s="8"/>
      <c r="F14" s="8"/>
      <c r="G14" s="3"/>
      <c r="M14" s="8"/>
      <c r="O14" s="8"/>
      <c r="U14" s="8"/>
      <c r="X14" s="8"/>
      <c r="AC14" s="8"/>
    </row>
    <row r="15" spans="2:29">
      <c r="B15" s="8"/>
      <c r="D15" s="8"/>
      <c r="F15" s="8"/>
      <c r="G15" s="3"/>
      <c r="M15" s="8"/>
      <c r="O15" s="8"/>
      <c r="U15" s="8"/>
      <c r="X15" s="8"/>
      <c r="AC15" s="8"/>
    </row>
    <row r="16" spans="2:29">
      <c r="B16" s="8"/>
      <c r="D16" s="8"/>
      <c r="F16" s="8"/>
      <c r="G16" s="3"/>
      <c r="M16" s="8"/>
      <c r="O16" s="8"/>
      <c r="U16" s="8"/>
      <c r="X16" s="8"/>
      <c r="AC16" s="8"/>
    </row>
    <row r="17" spans="2:29">
      <c r="B17" s="8"/>
      <c r="D17" s="8"/>
      <c r="F17" s="8"/>
      <c r="G17" s="3"/>
      <c r="M17" s="8"/>
      <c r="O17" s="8"/>
      <c r="U17" s="8"/>
      <c r="X17" s="8"/>
      <c r="AC17" s="8"/>
    </row>
    <row r="18" spans="2:29">
      <c r="B18" s="8"/>
      <c r="C18" s="19"/>
      <c r="D18" s="12"/>
      <c r="E18" s="10"/>
      <c r="F18" s="12"/>
      <c r="G18" s="16"/>
      <c r="H18" s="10"/>
      <c r="I18" s="10"/>
      <c r="J18" s="10"/>
      <c r="K18" s="10"/>
      <c r="L18" s="10"/>
      <c r="M18" s="12"/>
      <c r="N18" s="10"/>
      <c r="O18" s="12"/>
      <c r="P18" s="17"/>
      <c r="Q18" s="10"/>
      <c r="R18" s="12"/>
      <c r="S18" s="11" t="s">
        <v>21</v>
      </c>
      <c r="T18" s="19"/>
      <c r="U18" s="12"/>
      <c r="X18" s="8"/>
      <c r="AA18" s="11" t="s">
        <v>22</v>
      </c>
      <c r="AC18" s="8"/>
    </row>
    <row r="19" spans="2:29">
      <c r="B19" s="8"/>
      <c r="D19" s="8"/>
      <c r="E19" s="10"/>
      <c r="F19" s="12"/>
      <c r="G19" s="16"/>
      <c r="H19" s="10"/>
      <c r="I19" s="10"/>
      <c r="J19" s="10"/>
      <c r="K19" s="10"/>
      <c r="L19" s="10"/>
      <c r="M19" s="12"/>
      <c r="N19" s="10"/>
      <c r="O19" s="12"/>
      <c r="P19" s="18"/>
      <c r="Q19" s="10"/>
      <c r="R19" s="12"/>
      <c r="S19" s="13"/>
      <c r="U19" s="8"/>
      <c r="X19" s="8"/>
      <c r="Y19" s="19"/>
      <c r="Z19" s="12"/>
      <c r="AA19" s="13"/>
      <c r="AB19" s="19"/>
      <c r="AC19" s="12"/>
    </row>
    <row r="20" spans="2:29">
      <c r="B20" s="8"/>
      <c r="D20" s="8"/>
      <c r="F20" s="8"/>
      <c r="G20" s="3"/>
      <c r="M20" s="8"/>
      <c r="O20" s="8"/>
      <c r="S20" s="14" t="s">
        <v>23</v>
      </c>
      <c r="T20" s="19"/>
      <c r="U20" s="12"/>
      <c r="V20" s="10"/>
      <c r="W20" s="10"/>
      <c r="X20" s="12"/>
      <c r="AA20" s="14" t="s">
        <v>24</v>
      </c>
      <c r="AC20" s="8"/>
    </row>
    <row r="21" spans="2:29">
      <c r="B21" s="8"/>
      <c r="D21" s="8"/>
      <c r="F21" s="8"/>
      <c r="G21" s="3"/>
      <c r="M21" s="8"/>
      <c r="O21" s="8"/>
      <c r="S21" s="13"/>
      <c r="U21" s="8"/>
      <c r="X21" s="8"/>
      <c r="AA21" s="13"/>
      <c r="AC21" s="8"/>
    </row>
    <row r="22" spans="2:29">
      <c r="B22" s="8"/>
      <c r="D22" s="8"/>
      <c r="F22" s="8"/>
      <c r="G22" s="3"/>
      <c r="M22" s="8"/>
      <c r="N22" s="19"/>
      <c r="O22" s="12"/>
      <c r="P22" s="18"/>
      <c r="Q22" s="10"/>
      <c r="R22" s="10"/>
      <c r="S22" s="15"/>
      <c r="U22" s="8"/>
      <c r="X22" s="8"/>
      <c r="AA22" s="15"/>
      <c r="AC22" s="8"/>
    </row>
    <row r="23" spans="2:29">
      <c r="B23" s="8"/>
      <c r="D23" s="8"/>
      <c r="F23" s="8"/>
      <c r="G23" s="3"/>
      <c r="M23" s="8"/>
      <c r="O23" s="8"/>
      <c r="U23" s="8"/>
      <c r="X23" s="8"/>
      <c r="AC23" s="8"/>
    </row>
    <row r="24" spans="2:29">
      <c r="B24" s="8"/>
      <c r="D24" s="8"/>
      <c r="F24" s="8"/>
      <c r="G24" s="3"/>
      <c r="M24" s="8"/>
      <c r="O24" s="8"/>
      <c r="U24" s="8"/>
      <c r="X24" s="8"/>
      <c r="AC24" s="8"/>
    </row>
    <row r="25" spans="2:29">
      <c r="B25" s="8"/>
      <c r="D25" s="8"/>
      <c r="F25" s="8"/>
      <c r="G25" s="3"/>
      <c r="M25" s="8"/>
      <c r="O25" s="8"/>
      <c r="U25" s="8"/>
      <c r="X25" s="8"/>
      <c r="AC25" s="8"/>
    </row>
    <row r="26" spans="2:29">
      <c r="B26" s="8"/>
      <c r="D26" s="8"/>
      <c r="E26" s="10"/>
      <c r="F26" s="12"/>
      <c r="G26" s="16"/>
      <c r="H26" s="10"/>
      <c r="I26" s="10"/>
      <c r="J26" s="10"/>
      <c r="K26" s="10"/>
      <c r="L26" s="10"/>
      <c r="M26" s="12"/>
      <c r="N26" s="10"/>
      <c r="O26" s="12"/>
      <c r="P26" s="18"/>
      <c r="Q26" s="10"/>
      <c r="R26" s="10"/>
      <c r="U26" s="8"/>
      <c r="X26" s="8"/>
    </row>
    <row r="27" spans="2:29">
      <c r="B27" s="8"/>
      <c r="D27" s="8"/>
      <c r="F27" s="8"/>
      <c r="G27" s="3"/>
      <c r="M27" s="8"/>
      <c r="N27" s="19"/>
      <c r="O27" s="12"/>
      <c r="P27" s="18"/>
      <c r="Q27" s="10"/>
      <c r="R27" s="12"/>
      <c r="S27" s="11" t="s">
        <v>25</v>
      </c>
      <c r="U27" s="8"/>
      <c r="X27" s="8"/>
    </row>
    <row r="28" spans="2:29">
      <c r="B28" s="8"/>
      <c r="D28" s="8"/>
      <c r="F28" s="8"/>
      <c r="G28" s="3"/>
      <c r="M28" s="8"/>
      <c r="O28" s="8"/>
      <c r="S28" s="13"/>
      <c r="U28" s="8"/>
      <c r="X28" s="8"/>
    </row>
    <row r="29" spans="2:29">
      <c r="B29" s="8"/>
      <c r="D29" s="8"/>
      <c r="F29" s="8"/>
      <c r="G29" s="3"/>
      <c r="M29" s="8"/>
      <c r="N29" s="19"/>
      <c r="O29" s="12"/>
      <c r="P29" s="18"/>
      <c r="Q29" s="10"/>
      <c r="R29" s="12"/>
      <c r="S29" s="14" t="s">
        <v>26</v>
      </c>
      <c r="U29" s="8"/>
      <c r="X29" s="8"/>
    </row>
    <row r="30" spans="2:29">
      <c r="B30" s="8"/>
      <c r="F30" s="8"/>
      <c r="G30" s="3"/>
      <c r="M30" s="8"/>
      <c r="O30" s="8"/>
      <c r="S30" s="13"/>
      <c r="U30" s="8"/>
      <c r="X30" s="8"/>
    </row>
    <row r="31" spans="2:29">
      <c r="B31" s="8"/>
      <c r="F31" s="8"/>
      <c r="G31" s="3"/>
      <c r="S31" s="15"/>
      <c r="U31" s="8"/>
      <c r="X31" s="8"/>
    </row>
    <row r="32" spans="2:29">
      <c r="B32" s="8"/>
      <c r="F32" s="8"/>
      <c r="G32" s="3"/>
      <c r="U32" s="8"/>
      <c r="X32" s="8"/>
    </row>
    <row r="33" spans="2:24">
      <c r="B33" s="8"/>
      <c r="F33" s="8"/>
      <c r="G33" s="3"/>
      <c r="U33" s="8"/>
      <c r="X33" s="8"/>
    </row>
    <row r="34" spans="2:24">
      <c r="B34" s="8"/>
      <c r="F34" s="8"/>
      <c r="G34" s="3"/>
      <c r="U34" s="8"/>
      <c r="X34" s="8"/>
    </row>
    <row r="35" spans="2:24">
      <c r="B35" s="8"/>
      <c r="F35" s="8"/>
      <c r="G35" s="3"/>
    </row>
    <row r="36" spans="2:24">
      <c r="G36" s="3"/>
    </row>
    <row r="37" spans="2:24">
      <c r="G37" s="3"/>
    </row>
    <row r="38" spans="2:24">
      <c r="G38" s="3"/>
    </row>
    <row r="39" spans="2:24">
      <c r="G39" s="3"/>
    </row>
    <row r="40" spans="2:24">
      <c r="G40" s="3"/>
    </row>
    <row r="41" spans="2:24">
      <c r="G41" s="3"/>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8FFD4E-0EE1-4C80-9E3E-D6D84D9760C9}">
  <sheetPr>
    <pageSetUpPr fitToPage="1"/>
  </sheetPr>
  <dimension ref="A1:M100"/>
  <sheetViews>
    <sheetView zoomScale="84" zoomScaleNormal="84" workbookViewId="0">
      <pane ySplit="4" topLeftCell="A12" activePane="bottomLeft" state="frozen"/>
      <selection pane="bottomLeft" activeCell="I29" sqref="I29"/>
    </sheetView>
  </sheetViews>
  <sheetFormatPr defaultRowHeight="15"/>
  <cols>
    <col min="1" max="1" width="10.7109375" customWidth="1"/>
    <col min="2" max="2" width="30.5703125" bestFit="1" customWidth="1"/>
    <col min="3" max="3" width="10.28515625" bestFit="1" customWidth="1"/>
    <col min="4" max="4" width="16" bestFit="1" customWidth="1"/>
    <col min="5" max="5" width="19.7109375" customWidth="1"/>
    <col min="6" max="6" width="35.42578125" customWidth="1"/>
    <col min="7" max="7" width="13.5703125" customWidth="1"/>
    <col min="8" max="8" width="28" customWidth="1"/>
    <col min="9" max="9" width="11.28515625" bestFit="1" customWidth="1"/>
  </cols>
  <sheetData>
    <row r="1" spans="1:6">
      <c r="A1" s="21" t="s">
        <v>305</v>
      </c>
    </row>
    <row r="2" spans="1:6">
      <c r="A2" s="21" t="s">
        <v>306</v>
      </c>
    </row>
    <row r="3" spans="1:6">
      <c r="B3" s="21"/>
    </row>
    <row r="4" spans="1:6">
      <c r="B4" s="21" t="s">
        <v>82</v>
      </c>
      <c r="C4" s="21" t="s">
        <v>307</v>
      </c>
      <c r="D4" s="21" t="s">
        <v>308</v>
      </c>
      <c r="E4" s="21" t="s">
        <v>309</v>
      </c>
      <c r="F4" s="21" t="s">
        <v>310</v>
      </c>
    </row>
    <row r="5" spans="1:6">
      <c r="B5" s="21"/>
      <c r="E5" t="s">
        <v>311</v>
      </c>
      <c r="F5" s="21"/>
    </row>
    <row r="6" spans="1:6">
      <c r="A6" s="21" t="s">
        <v>312</v>
      </c>
    </row>
    <row r="7" spans="1:6">
      <c r="B7" t="s">
        <v>313</v>
      </c>
      <c r="C7" s="21">
        <v>866.12</v>
      </c>
      <c r="D7" t="s">
        <v>171</v>
      </c>
      <c r="F7" t="s">
        <v>314</v>
      </c>
    </row>
    <row r="8" spans="1:6">
      <c r="C8">
        <f>C7*3600/1000</f>
        <v>3118.0320000000002</v>
      </c>
      <c r="D8" t="s">
        <v>315</v>
      </c>
    </row>
    <row r="9" spans="1:6">
      <c r="B9" t="s">
        <v>316</v>
      </c>
      <c r="C9" s="21">
        <v>4184</v>
      </c>
      <c r="D9" t="s">
        <v>317</v>
      </c>
    </row>
    <row r="10" spans="1:6">
      <c r="B10" t="s">
        <v>318</v>
      </c>
      <c r="C10" s="21">
        <v>30</v>
      </c>
      <c r="D10" s="161" t="s">
        <v>319</v>
      </c>
      <c r="E10" t="s">
        <v>320</v>
      </c>
    </row>
    <row r="11" spans="1:6">
      <c r="B11" t="s">
        <v>321</v>
      </c>
      <c r="C11" s="21">
        <v>45</v>
      </c>
      <c r="D11" s="161" t="s">
        <v>319</v>
      </c>
      <c r="E11" t="s">
        <v>320</v>
      </c>
    </row>
    <row r="12" spans="1:6">
      <c r="B12" t="s">
        <v>322</v>
      </c>
      <c r="C12" s="58">
        <f>C7*1000000/(C9*(C11-C10))</f>
        <v>13800.50987890376</v>
      </c>
      <c r="D12" s="161" t="s">
        <v>323</v>
      </c>
    </row>
    <row r="13" spans="1:6">
      <c r="B13" t="s">
        <v>322</v>
      </c>
      <c r="C13" s="162">
        <f>C12*3600</f>
        <v>49681835.564053535</v>
      </c>
      <c r="D13" s="161" t="s">
        <v>277</v>
      </c>
    </row>
    <row r="14" spans="1:6">
      <c r="F14" t="s">
        <v>324</v>
      </c>
    </row>
    <row r="15" spans="1:6">
      <c r="A15" s="21" t="s">
        <v>325</v>
      </c>
    </row>
    <row r="16" spans="1:6">
      <c r="B16" s="161" t="s">
        <v>326</v>
      </c>
      <c r="C16">
        <f>C11-C10</f>
        <v>15</v>
      </c>
      <c r="D16" s="161" t="s">
        <v>319</v>
      </c>
    </row>
    <row r="17" spans="2:13">
      <c r="B17" s="161" t="s">
        <v>326</v>
      </c>
      <c r="C17">
        <f>C16*1.8</f>
        <v>27</v>
      </c>
      <c r="D17" s="161" t="s">
        <v>327</v>
      </c>
    </row>
    <row r="18" spans="2:13">
      <c r="B18" s="161" t="s">
        <v>328</v>
      </c>
      <c r="C18" s="151">
        <v>1</v>
      </c>
      <c r="D18" s="161" t="s">
        <v>329</v>
      </c>
      <c r="E18" t="s">
        <v>320</v>
      </c>
      <c r="F18" t="s">
        <v>330</v>
      </c>
      <c r="H18" s="21" t="s">
        <v>331</v>
      </c>
    </row>
    <row r="19" spans="2:13">
      <c r="B19" s="161" t="s">
        <v>328</v>
      </c>
      <c r="C19">
        <f>(C17/10)*C18</f>
        <v>2.7</v>
      </c>
      <c r="D19" s="161" t="s">
        <v>332</v>
      </c>
      <c r="F19" t="s">
        <v>330</v>
      </c>
      <c r="H19" t="s">
        <v>333</v>
      </c>
      <c r="I19" s="21">
        <v>2260</v>
      </c>
      <c r="J19" t="s">
        <v>334</v>
      </c>
    </row>
    <row r="20" spans="2:13">
      <c r="B20" s="161" t="s">
        <v>328</v>
      </c>
      <c r="C20" s="163">
        <f>(C19/100)*C12</f>
        <v>372.61376673040155</v>
      </c>
      <c r="D20" s="161" t="s">
        <v>323</v>
      </c>
      <c r="F20" t="s">
        <v>330</v>
      </c>
      <c r="H20" t="s">
        <v>328</v>
      </c>
      <c r="I20" s="163">
        <f>C7*1000/I19</f>
        <v>383.23893805309734</v>
      </c>
      <c r="J20" t="s">
        <v>323</v>
      </c>
    </row>
    <row r="21" spans="2:13">
      <c r="B21" s="161"/>
      <c r="C21" s="36">
        <f>C20*3600</f>
        <v>1341409.5602294456</v>
      </c>
      <c r="D21" s="161" t="s">
        <v>277</v>
      </c>
      <c r="I21" s="36">
        <f>I20*3600</f>
        <v>1379660.1769911505</v>
      </c>
      <c r="J21" s="161" t="s">
        <v>277</v>
      </c>
    </row>
    <row r="22" spans="2:13">
      <c r="B22" s="161" t="s">
        <v>335</v>
      </c>
      <c r="C22" s="132">
        <v>0.8</v>
      </c>
      <c r="E22" t="s">
        <v>336</v>
      </c>
      <c r="F22" t="s">
        <v>337</v>
      </c>
    </row>
    <row r="23" spans="2:13">
      <c r="B23" s="161" t="s">
        <v>338</v>
      </c>
      <c r="C23" s="163">
        <f>C20*C22</f>
        <v>298.09101338432123</v>
      </c>
      <c r="D23" s="161" t="s">
        <v>323</v>
      </c>
      <c r="F23" t="s">
        <v>339</v>
      </c>
      <c r="H23" s="21" t="s">
        <v>340</v>
      </c>
    </row>
    <row r="24" spans="2:13">
      <c r="B24" s="161"/>
      <c r="C24" s="36">
        <f>C23*3600</f>
        <v>1073127.6481835565</v>
      </c>
      <c r="D24" s="161" t="s">
        <v>277</v>
      </c>
      <c r="H24" s="164" t="s">
        <v>341</v>
      </c>
      <c r="I24" s="164">
        <v>104300</v>
      </c>
      <c r="J24" s="164" t="s">
        <v>277</v>
      </c>
      <c r="K24" s="164"/>
      <c r="L24" s="164"/>
      <c r="M24" s="164"/>
    </row>
    <row r="25" spans="2:13">
      <c r="B25" s="161" t="s">
        <v>342</v>
      </c>
      <c r="C25" s="21">
        <v>0.3</v>
      </c>
      <c r="D25" s="161" t="s">
        <v>332</v>
      </c>
      <c r="E25" t="s">
        <v>320</v>
      </c>
      <c r="H25" s="164"/>
      <c r="I25" s="164">
        <f>I24/1000</f>
        <v>104.3</v>
      </c>
      <c r="J25" s="164" t="s">
        <v>343</v>
      </c>
      <c r="K25" s="164"/>
      <c r="L25" s="164"/>
      <c r="M25" s="164"/>
    </row>
    <row r="26" spans="2:13">
      <c r="B26" s="161" t="s">
        <v>342</v>
      </c>
      <c r="C26" s="163">
        <f>(C25/100)*C12</f>
        <v>41.401529636711281</v>
      </c>
      <c r="D26" s="161" t="s">
        <v>323</v>
      </c>
      <c r="H26" s="164" t="s">
        <v>344</v>
      </c>
      <c r="I26" s="165">
        <f>C61</f>
        <v>12355.515315112661</v>
      </c>
      <c r="J26" s="164" t="s">
        <v>345</v>
      </c>
      <c r="K26" s="164"/>
      <c r="L26" s="164"/>
      <c r="M26" s="164"/>
    </row>
    <row r="27" spans="2:13">
      <c r="B27" s="161"/>
      <c r="C27" s="36">
        <f>C26*3600</f>
        <v>149045.50669216062</v>
      </c>
      <c r="D27" s="161" t="s">
        <v>277</v>
      </c>
      <c r="H27" s="164" t="s">
        <v>346</v>
      </c>
      <c r="I27" s="166">
        <f>C94</f>
        <v>14859.450171345639</v>
      </c>
      <c r="J27" s="164" t="s">
        <v>345</v>
      </c>
      <c r="K27" s="164"/>
      <c r="L27" s="164"/>
      <c r="M27" s="164"/>
    </row>
    <row r="28" spans="2:13">
      <c r="B28" s="161" t="s">
        <v>347</v>
      </c>
      <c r="C28" s="151">
        <v>3</v>
      </c>
      <c r="D28" s="161" t="s">
        <v>332</v>
      </c>
      <c r="E28" t="s">
        <v>320</v>
      </c>
      <c r="G28" t="s">
        <v>348</v>
      </c>
      <c r="H28" s="164" t="s">
        <v>349</v>
      </c>
      <c r="I28" s="164">
        <f>(((53.72+2.11)/1.28))*1000</f>
        <v>43617.1875</v>
      </c>
      <c r="J28" s="164" t="s">
        <v>345</v>
      </c>
      <c r="K28" s="164" t="s">
        <v>350</v>
      </c>
      <c r="L28" s="164"/>
      <c r="M28" s="164"/>
    </row>
    <row r="29" spans="2:13">
      <c r="B29" s="161" t="s">
        <v>347</v>
      </c>
      <c r="C29" s="163">
        <f>(C28/100)*C12</f>
        <v>414.0152963671128</v>
      </c>
      <c r="D29" s="161" t="s">
        <v>323</v>
      </c>
      <c r="H29" s="164" t="s">
        <v>351</v>
      </c>
      <c r="I29" s="166">
        <f>105.544951959*1000</f>
        <v>105544.951959</v>
      </c>
      <c r="J29" s="164" t="s">
        <v>345</v>
      </c>
      <c r="K29" s="164"/>
      <c r="L29" s="164"/>
      <c r="M29" s="164"/>
    </row>
    <row r="30" spans="2:13">
      <c r="B30" s="161"/>
      <c r="C30" s="36">
        <f>C29*3600</f>
        <v>1490455.066921606</v>
      </c>
      <c r="D30" s="161" t="s">
        <v>277</v>
      </c>
      <c r="H30" s="164"/>
      <c r="I30" s="164"/>
      <c r="J30" s="164"/>
      <c r="K30" s="164"/>
      <c r="L30" s="164"/>
      <c r="M30" s="164"/>
    </row>
    <row r="31" spans="2:13">
      <c r="B31" s="161" t="s">
        <v>352</v>
      </c>
      <c r="C31" s="163">
        <f>C23+C26+C29</f>
        <v>753.50783938814538</v>
      </c>
      <c r="D31" s="161" t="s">
        <v>323</v>
      </c>
      <c r="H31" s="164" t="s">
        <v>353</v>
      </c>
      <c r="I31" s="165">
        <f>SUM(I26:I29)</f>
        <v>176377.1049454583</v>
      </c>
      <c r="J31" s="164" t="s">
        <v>345</v>
      </c>
      <c r="K31" s="164"/>
      <c r="L31" s="164"/>
      <c r="M31" s="164"/>
    </row>
    <row r="32" spans="2:13">
      <c r="B32" s="161"/>
      <c r="C32" s="167">
        <f>C31*3600</f>
        <v>2712628.2217973233</v>
      </c>
      <c r="D32" s="161" t="s">
        <v>277</v>
      </c>
      <c r="H32" s="164" t="s">
        <v>354</v>
      </c>
      <c r="I32" s="168">
        <f>I31/I24</f>
        <v>1.691055656236417</v>
      </c>
      <c r="J32" s="164" t="s">
        <v>355</v>
      </c>
      <c r="K32" s="164"/>
      <c r="L32" s="164"/>
      <c r="M32" s="164"/>
    </row>
    <row r="33" spans="1:6" ht="17.25">
      <c r="B33" t="s">
        <v>356</v>
      </c>
      <c r="C33" s="21">
        <v>1000</v>
      </c>
      <c r="D33" s="161" t="s">
        <v>357</v>
      </c>
    </row>
    <row r="34" spans="1:6" ht="17.25">
      <c r="B34" s="161" t="s">
        <v>352</v>
      </c>
      <c r="C34" s="163">
        <f>C32/C33</f>
        <v>2712.6282217973235</v>
      </c>
      <c r="D34" s="161" t="s">
        <v>358</v>
      </c>
    </row>
    <row r="35" spans="1:6">
      <c r="B35" s="161" t="s">
        <v>359</v>
      </c>
      <c r="C35" s="21">
        <v>31.41</v>
      </c>
      <c r="D35" s="161" t="s">
        <v>360</v>
      </c>
      <c r="E35" t="s">
        <v>361</v>
      </c>
      <c r="F35" t="s">
        <v>362</v>
      </c>
    </row>
    <row r="36" spans="1:6">
      <c r="B36" s="161" t="s">
        <v>363</v>
      </c>
      <c r="C36" s="32">
        <f>C34*C35</f>
        <v>85203.652446653927</v>
      </c>
      <c r="D36" s="161" t="s">
        <v>364</v>
      </c>
    </row>
    <row r="38" spans="1:6">
      <c r="A38" s="21" t="s">
        <v>365</v>
      </c>
    </row>
    <row r="39" spans="1:6">
      <c r="B39" t="s">
        <v>366</v>
      </c>
      <c r="C39" s="21">
        <v>30.5</v>
      </c>
      <c r="D39" t="s">
        <v>367</v>
      </c>
      <c r="E39" t="s">
        <v>320</v>
      </c>
      <c r="F39" t="s">
        <v>368</v>
      </c>
    </row>
    <row r="40" spans="1:6">
      <c r="B40" t="s">
        <v>369</v>
      </c>
      <c r="C40" s="21">
        <v>3</v>
      </c>
      <c r="F40" t="s">
        <v>370</v>
      </c>
    </row>
    <row r="41" spans="1:6">
      <c r="B41" t="s">
        <v>371</v>
      </c>
      <c r="C41" s="36">
        <f>C39*C40*2</f>
        <v>183</v>
      </c>
      <c r="D41" t="s">
        <v>367</v>
      </c>
      <c r="F41" t="s">
        <v>372</v>
      </c>
    </row>
    <row r="42" spans="1:6">
      <c r="B42" t="s">
        <v>373</v>
      </c>
      <c r="C42" s="132">
        <v>0.45</v>
      </c>
      <c r="D42" t="s">
        <v>374</v>
      </c>
      <c r="E42" t="s">
        <v>320</v>
      </c>
    </row>
    <row r="43" spans="1:6">
      <c r="B43" t="s">
        <v>375</v>
      </c>
      <c r="C43" s="32">
        <f>(C41/100)*C42</f>
        <v>0.82350000000000001</v>
      </c>
      <c r="D43" t="s">
        <v>376</v>
      </c>
      <c r="F43" t="s">
        <v>368</v>
      </c>
    </row>
    <row r="44" spans="1:6">
      <c r="B44" s="161" t="s">
        <v>377</v>
      </c>
      <c r="C44" s="21">
        <v>0.62</v>
      </c>
      <c r="D44" t="s">
        <v>376</v>
      </c>
      <c r="E44" t="s">
        <v>320</v>
      </c>
    </row>
    <row r="45" spans="1:6">
      <c r="B45" t="s">
        <v>378</v>
      </c>
      <c r="C45" s="21">
        <v>1</v>
      </c>
      <c r="F45" t="s">
        <v>379</v>
      </c>
    </row>
    <row r="46" spans="1:6">
      <c r="B46" s="161" t="s">
        <v>380</v>
      </c>
      <c r="C46">
        <f>C44*C45</f>
        <v>0.62</v>
      </c>
      <c r="D46" t="s">
        <v>376</v>
      </c>
    </row>
    <row r="47" spans="1:6">
      <c r="B47" s="161" t="s">
        <v>381</v>
      </c>
      <c r="C47" s="132">
        <v>1</v>
      </c>
      <c r="D47" t="s">
        <v>376</v>
      </c>
      <c r="E47" t="s">
        <v>382</v>
      </c>
      <c r="F47" t="s">
        <v>383</v>
      </c>
    </row>
    <row r="48" spans="1:6">
      <c r="B48" s="161" t="s">
        <v>384</v>
      </c>
      <c r="C48" s="151">
        <v>10</v>
      </c>
      <c r="D48" t="s">
        <v>367</v>
      </c>
      <c r="F48" t="s">
        <v>385</v>
      </c>
    </row>
    <row r="49" spans="2:10" ht="16.5">
      <c r="B49" s="161" t="s">
        <v>386</v>
      </c>
      <c r="C49" s="21">
        <v>9.81</v>
      </c>
      <c r="D49" t="s">
        <v>387</v>
      </c>
    </row>
    <row r="50" spans="2:10">
      <c r="B50" s="161" t="s">
        <v>388</v>
      </c>
      <c r="C50" s="169">
        <f>C33*C49*C48</f>
        <v>98100</v>
      </c>
      <c r="D50" t="s">
        <v>389</v>
      </c>
    </row>
    <row r="51" spans="2:10">
      <c r="B51" s="161" t="s">
        <v>388</v>
      </c>
      <c r="C51" s="32">
        <f>C50/100000</f>
        <v>0.98099999999999998</v>
      </c>
      <c r="D51" t="s">
        <v>376</v>
      </c>
    </row>
    <row r="52" spans="2:10">
      <c r="B52" s="161" t="s">
        <v>390</v>
      </c>
      <c r="C52" s="32">
        <f>C43+C46+C47+C51</f>
        <v>3.4245000000000001</v>
      </c>
      <c r="D52" t="s">
        <v>376</v>
      </c>
    </row>
    <row r="53" spans="2:10">
      <c r="B53" s="161"/>
      <c r="C53" s="169">
        <f>C52*100000</f>
        <v>342450</v>
      </c>
      <c r="D53" t="s">
        <v>389</v>
      </c>
    </row>
    <row r="54" spans="2:10">
      <c r="B54" s="161" t="s">
        <v>390</v>
      </c>
      <c r="C54" s="36">
        <f>C53/(C33*C49)</f>
        <v>34.908256880733944</v>
      </c>
      <c r="D54" t="s">
        <v>367</v>
      </c>
    </row>
    <row r="55" spans="2:10">
      <c r="B55" s="161" t="s">
        <v>391</v>
      </c>
      <c r="C55" s="132">
        <v>0.45</v>
      </c>
      <c r="E55" t="s">
        <v>320</v>
      </c>
      <c r="F55" t="s">
        <v>392</v>
      </c>
    </row>
    <row r="56" spans="2:10">
      <c r="B56" s="161" t="s">
        <v>393</v>
      </c>
      <c r="C56" s="132">
        <v>0.85</v>
      </c>
      <c r="E56" t="s">
        <v>320</v>
      </c>
    </row>
    <row r="57" spans="2:10" ht="17.25">
      <c r="B57" s="161" t="s">
        <v>394</v>
      </c>
      <c r="C57" s="170">
        <f>C12/C33</f>
        <v>13.80050987890376</v>
      </c>
      <c r="D57" s="161" t="s">
        <v>395</v>
      </c>
    </row>
    <row r="58" spans="2:10" ht="17.25">
      <c r="B58" s="161"/>
      <c r="C58" s="170">
        <f>C57*60</f>
        <v>828.03059273422559</v>
      </c>
      <c r="D58" s="161" t="s">
        <v>396</v>
      </c>
    </row>
    <row r="59" spans="2:10" ht="17.25">
      <c r="B59" s="161"/>
      <c r="C59" s="32">
        <f>C57*3600</f>
        <v>49681.835564053537</v>
      </c>
      <c r="D59" s="161" t="s">
        <v>397</v>
      </c>
      <c r="H59" s="21" t="s">
        <v>398</v>
      </c>
      <c r="I59" s="21"/>
    </row>
    <row r="60" spans="2:10" ht="17.25">
      <c r="B60" s="161" t="s">
        <v>399</v>
      </c>
      <c r="C60" s="36">
        <f>C57*C53/(C55*C56)</f>
        <v>12355515.315112662</v>
      </c>
      <c r="D60" s="161" t="s">
        <v>400</v>
      </c>
      <c r="H60" s="161" t="s">
        <v>394</v>
      </c>
      <c r="I60" s="163">
        <f>(C12/C33)*60</f>
        <v>828.03059273422559</v>
      </c>
      <c r="J60" s="161" t="s">
        <v>396</v>
      </c>
    </row>
    <row r="61" spans="2:10">
      <c r="B61" s="161" t="s">
        <v>399</v>
      </c>
      <c r="C61" s="171">
        <f>C60/1000</f>
        <v>12355.515315112661</v>
      </c>
      <c r="D61" s="161" t="s">
        <v>345</v>
      </c>
      <c r="H61" s="161" t="s">
        <v>401</v>
      </c>
      <c r="I61" s="163">
        <f>1.67*I60*C52/(C55*C56)</f>
        <v>12380.226345742885</v>
      </c>
      <c r="J61" t="s">
        <v>345</v>
      </c>
    </row>
    <row r="62" spans="2:10">
      <c r="B62" s="161" t="s">
        <v>402</v>
      </c>
      <c r="C62" s="132">
        <v>1.76</v>
      </c>
      <c r="D62" s="161" t="s">
        <v>403</v>
      </c>
      <c r="E62" t="s">
        <v>361</v>
      </c>
      <c r="F62" t="s">
        <v>404</v>
      </c>
    </row>
    <row r="63" spans="2:10">
      <c r="B63" s="161" t="s">
        <v>405</v>
      </c>
      <c r="C63" s="32">
        <f>C61*C62</f>
        <v>21745.706954598285</v>
      </c>
      <c r="D63" s="161" t="s">
        <v>364</v>
      </c>
    </row>
    <row r="65" spans="1:6">
      <c r="A65" s="21" t="s">
        <v>406</v>
      </c>
    </row>
    <row r="66" spans="1:6">
      <c r="B66" t="s">
        <v>407</v>
      </c>
      <c r="C66" s="21">
        <v>27</v>
      </c>
      <c r="D66" s="161" t="s">
        <v>319</v>
      </c>
      <c r="E66" t="s">
        <v>408</v>
      </c>
      <c r="F66" t="s">
        <v>409</v>
      </c>
    </row>
    <row r="67" spans="1:6">
      <c r="B67" t="s">
        <v>410</v>
      </c>
      <c r="C67" s="21">
        <v>72</v>
      </c>
      <c r="D67" s="161" t="s">
        <v>411</v>
      </c>
      <c r="E67" t="s">
        <v>408</v>
      </c>
      <c r="F67" t="s">
        <v>409</v>
      </c>
    </row>
    <row r="68" spans="1:6">
      <c r="B68" t="s">
        <v>412</v>
      </c>
      <c r="C68" s="21">
        <v>1.6299999999999999E-2</v>
      </c>
      <c r="D68" s="161" t="s">
        <v>413</v>
      </c>
      <c r="E68" t="s">
        <v>414</v>
      </c>
    </row>
    <row r="69" spans="1:6" ht="17.25">
      <c r="B69" t="s">
        <v>415</v>
      </c>
      <c r="C69" s="21">
        <v>122</v>
      </c>
      <c r="D69" s="161" t="s">
        <v>416</v>
      </c>
      <c r="E69" t="s">
        <v>320</v>
      </c>
    </row>
    <row r="70" spans="1:6" ht="17.25">
      <c r="B70" t="s">
        <v>417</v>
      </c>
      <c r="C70" s="21">
        <v>7564</v>
      </c>
      <c r="D70" s="161" t="s">
        <v>418</v>
      </c>
      <c r="E70" t="s">
        <v>320</v>
      </c>
    </row>
    <row r="71" spans="1:6">
      <c r="B71" t="s">
        <v>419</v>
      </c>
      <c r="C71" s="32">
        <f>C70/(C69*60)</f>
        <v>1.0333333333333334</v>
      </c>
      <c r="D71" s="161" t="s">
        <v>420</v>
      </c>
    </row>
    <row r="72" spans="1:6">
      <c r="B72" t="s">
        <v>419</v>
      </c>
      <c r="C72" s="32">
        <f>C12*C71</f>
        <v>14260.526874867221</v>
      </c>
      <c r="D72" s="161" t="s">
        <v>323</v>
      </c>
    </row>
    <row r="73" spans="1:6">
      <c r="C73" s="36">
        <f>+C72*60</f>
        <v>855631.61249203328</v>
      </c>
      <c r="D73" s="161" t="s">
        <v>421</v>
      </c>
    </row>
    <row r="74" spans="1:6">
      <c r="C74" s="48">
        <f>+C73*60</f>
        <v>51337896.749522001</v>
      </c>
      <c r="D74" s="161" t="s">
        <v>277</v>
      </c>
    </row>
    <row r="75" spans="1:6">
      <c r="B75" t="s">
        <v>422</v>
      </c>
      <c r="C75" s="170">
        <f>C23/C72</f>
        <v>2.0903225806451611E-2</v>
      </c>
      <c r="D75" s="161" t="s">
        <v>413</v>
      </c>
    </row>
    <row r="76" spans="1:6">
      <c r="B76" t="s">
        <v>423</v>
      </c>
      <c r="C76" s="170">
        <f>C68+C75</f>
        <v>3.7203225806451606E-2</v>
      </c>
      <c r="D76" s="161" t="s">
        <v>413</v>
      </c>
    </row>
    <row r="77" spans="1:6">
      <c r="B77" t="s">
        <v>424</v>
      </c>
      <c r="C77" s="21">
        <v>90</v>
      </c>
      <c r="D77" s="161" t="s">
        <v>411</v>
      </c>
      <c r="E77" t="s">
        <v>320</v>
      </c>
    </row>
    <row r="78" spans="1:6">
      <c r="B78" t="s">
        <v>425</v>
      </c>
      <c r="C78" s="21">
        <v>40</v>
      </c>
      <c r="D78" s="161" t="s">
        <v>319</v>
      </c>
      <c r="E78" t="s">
        <v>414</v>
      </c>
      <c r="F78" t="s">
        <v>426</v>
      </c>
    </row>
    <row r="79" spans="1:6">
      <c r="B79" t="s">
        <v>425</v>
      </c>
      <c r="C79">
        <f>C78+273</f>
        <v>313</v>
      </c>
      <c r="D79" s="161" t="s">
        <v>427</v>
      </c>
    </row>
    <row r="80" spans="1:6" ht="18">
      <c r="B80" t="s">
        <v>428</v>
      </c>
      <c r="C80" s="21">
        <v>1.0129999999999999</v>
      </c>
      <c r="D80" s="161" t="s">
        <v>376</v>
      </c>
      <c r="F80" t="s">
        <v>429</v>
      </c>
    </row>
    <row r="81" spans="2:6">
      <c r="B81" t="s">
        <v>430</v>
      </c>
      <c r="C81" s="21">
        <v>2</v>
      </c>
      <c r="D81" s="161" t="s">
        <v>431</v>
      </c>
      <c r="E81" t="s">
        <v>320</v>
      </c>
    </row>
    <row r="82" spans="2:6">
      <c r="B82" t="s">
        <v>430</v>
      </c>
      <c r="C82" s="36">
        <f>C81*(0.3048/12)*C33*C49</f>
        <v>498.34800000000007</v>
      </c>
      <c r="D82" s="161" t="s">
        <v>389</v>
      </c>
    </row>
    <row r="83" spans="2:6">
      <c r="B83" t="s">
        <v>430</v>
      </c>
      <c r="C83" s="169">
        <f>C82/100000</f>
        <v>4.9834800000000011E-3</v>
      </c>
      <c r="D83" s="161" t="s">
        <v>376</v>
      </c>
    </row>
    <row r="84" spans="2:6" ht="18">
      <c r="B84" t="s">
        <v>432</v>
      </c>
      <c r="C84" s="58">
        <f>C80-C83</f>
        <v>1.00801652</v>
      </c>
      <c r="D84" s="161" t="s">
        <v>376</v>
      </c>
    </row>
    <row r="85" spans="2:6">
      <c r="B85" t="s">
        <v>433</v>
      </c>
      <c r="C85" s="132">
        <v>1.4</v>
      </c>
      <c r="E85" t="s">
        <v>320</v>
      </c>
    </row>
    <row r="86" spans="2:6">
      <c r="B86" t="s">
        <v>434</v>
      </c>
      <c r="C86" s="58">
        <f>(C85-1)/C85</f>
        <v>0.28571428571428564</v>
      </c>
    </row>
    <row r="87" spans="2:6">
      <c r="B87" t="s">
        <v>435</v>
      </c>
      <c r="C87" s="132">
        <v>1</v>
      </c>
      <c r="F87" t="s">
        <v>436</v>
      </c>
    </row>
    <row r="88" spans="2:6">
      <c r="B88" t="s">
        <v>437</v>
      </c>
      <c r="C88" s="151">
        <v>29</v>
      </c>
      <c r="D88" t="s">
        <v>438</v>
      </c>
    </row>
    <row r="89" spans="2:6">
      <c r="B89" t="s">
        <v>439</v>
      </c>
      <c r="C89" s="163">
        <f>C72/C88</f>
        <v>491.74230602990417</v>
      </c>
      <c r="D89" t="s">
        <v>440</v>
      </c>
    </row>
    <row r="90" spans="2:6">
      <c r="B90" t="s">
        <v>441</v>
      </c>
      <c r="C90" s="172">
        <v>8.3140000000000001</v>
      </c>
      <c r="D90" t="s">
        <v>442</v>
      </c>
    </row>
    <row r="91" spans="2:6">
      <c r="B91" t="s">
        <v>443</v>
      </c>
      <c r="C91" s="58">
        <f>(C89*C87*C90*C79*(((C80/C84)^C86)-1))/C86</f>
        <v>6315.2663228218962</v>
      </c>
      <c r="D91" t="s">
        <v>345</v>
      </c>
    </row>
    <row r="92" spans="2:6">
      <c r="B92" s="161" t="s">
        <v>444</v>
      </c>
      <c r="C92" s="132">
        <v>0.5</v>
      </c>
      <c r="E92" t="s">
        <v>336</v>
      </c>
      <c r="F92" t="s">
        <v>445</v>
      </c>
    </row>
    <row r="93" spans="2:6">
      <c r="B93" s="161" t="s">
        <v>393</v>
      </c>
      <c r="C93" s="132">
        <v>0.85</v>
      </c>
      <c r="E93" t="s">
        <v>320</v>
      </c>
    </row>
    <row r="94" spans="2:6">
      <c r="B94" s="161" t="s">
        <v>399</v>
      </c>
      <c r="C94" s="173">
        <f>C91/(C92*C93)</f>
        <v>14859.450171345639</v>
      </c>
      <c r="D94" t="s">
        <v>345</v>
      </c>
    </row>
    <row r="95" spans="2:6">
      <c r="B95" s="161" t="s">
        <v>405</v>
      </c>
      <c r="C95" s="32">
        <f>C62*C94</f>
        <v>26152.632301568327</v>
      </c>
      <c r="D95" s="161" t="s">
        <v>364</v>
      </c>
    </row>
    <row r="97" spans="1:6">
      <c r="A97" s="21" t="s">
        <v>446</v>
      </c>
    </row>
    <row r="98" spans="1:6">
      <c r="B98" t="s">
        <v>447</v>
      </c>
      <c r="C98" s="32">
        <f>C36+C63+C95</f>
        <v>133101.99170282052</v>
      </c>
      <c r="D98" s="161" t="s">
        <v>364</v>
      </c>
    </row>
    <row r="99" spans="1:6">
      <c r="B99" t="s">
        <v>448</v>
      </c>
      <c r="C99" s="174">
        <f>C98/C8</f>
        <v>42.687820940522904</v>
      </c>
      <c r="D99" s="161" t="s">
        <v>449</v>
      </c>
      <c r="F99" t="s">
        <v>450</v>
      </c>
    </row>
    <row r="100" spans="1:6" ht="17.25">
      <c r="B100" t="s">
        <v>451</v>
      </c>
      <c r="C100" s="174">
        <f>C98/C59</f>
        <v>2.6790876422272176</v>
      </c>
      <c r="D100" s="161" t="s">
        <v>452</v>
      </c>
      <c r="F100" t="s">
        <v>450</v>
      </c>
    </row>
  </sheetData>
  <pageMargins left="0.7" right="0.7" top="0.75" bottom="0.75" header="0.3" footer="0.3"/>
  <pageSetup paperSize="9" scale="67" fitToHeight="0"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DDBC4F-24E3-49A2-A597-74514982474B}">
  <sheetPr>
    <pageSetUpPr fitToPage="1"/>
  </sheetPr>
  <dimension ref="A1:DF167"/>
  <sheetViews>
    <sheetView showZeros="0" zoomScale="70" zoomScaleNormal="70" workbookViewId="0">
      <pane xSplit="2" ySplit="11" topLeftCell="BI15" activePane="bottomRight" state="frozen"/>
      <selection pane="topRight" activeCell="C1" sqref="C1"/>
      <selection pane="bottomLeft" activeCell="A12" sqref="A12"/>
      <selection pane="bottomRight"/>
    </sheetView>
  </sheetViews>
  <sheetFormatPr defaultRowHeight="15"/>
  <cols>
    <col min="1" max="1" width="18.5703125" bestFit="1" customWidth="1"/>
    <col min="2" max="2" width="9.7109375" bestFit="1" customWidth="1"/>
    <col min="3" max="81" width="11.5703125" customWidth="1"/>
  </cols>
  <sheetData>
    <row r="1" spans="1:110" s="21" customFormat="1">
      <c r="A1" s="175"/>
      <c r="B1" s="176" t="s">
        <v>308</v>
      </c>
      <c r="C1" s="177">
        <v>1</v>
      </c>
      <c r="D1" s="177">
        <v>2</v>
      </c>
      <c r="E1" s="177">
        <v>3</v>
      </c>
      <c r="F1" s="177">
        <v>4</v>
      </c>
      <c r="G1" s="177">
        <v>5</v>
      </c>
      <c r="H1" s="177">
        <v>6</v>
      </c>
      <c r="I1" s="177">
        <v>7</v>
      </c>
      <c r="J1" s="177">
        <v>8</v>
      </c>
      <c r="K1" s="177">
        <v>9</v>
      </c>
      <c r="L1" s="177">
        <v>11</v>
      </c>
      <c r="M1" s="177">
        <v>12</v>
      </c>
      <c r="N1" s="177">
        <v>13</v>
      </c>
      <c r="O1" s="177">
        <v>14</v>
      </c>
      <c r="P1" s="177">
        <v>15</v>
      </c>
      <c r="Q1" s="177">
        <v>16</v>
      </c>
      <c r="R1" s="177">
        <v>17</v>
      </c>
      <c r="S1" s="177">
        <v>18</v>
      </c>
      <c r="T1" s="177">
        <v>19</v>
      </c>
      <c r="U1" s="177">
        <v>20</v>
      </c>
      <c r="V1" s="177">
        <v>21</v>
      </c>
      <c r="W1" s="177">
        <v>22</v>
      </c>
      <c r="X1" s="177">
        <v>23</v>
      </c>
      <c r="Y1" s="177">
        <v>24</v>
      </c>
      <c r="Z1" s="177">
        <v>25</v>
      </c>
      <c r="AA1" s="177">
        <v>26</v>
      </c>
      <c r="AB1" s="177">
        <v>27</v>
      </c>
      <c r="AC1" s="177">
        <v>28</v>
      </c>
      <c r="AD1" s="177">
        <v>29</v>
      </c>
      <c r="AE1" s="177">
        <v>30</v>
      </c>
      <c r="AF1" s="177">
        <v>31</v>
      </c>
      <c r="AG1" s="177">
        <v>32</v>
      </c>
      <c r="AH1" s="177">
        <v>33</v>
      </c>
      <c r="AI1" s="177">
        <v>34</v>
      </c>
      <c r="AJ1" s="177">
        <v>35</v>
      </c>
      <c r="AK1" s="177">
        <v>36</v>
      </c>
      <c r="AL1" s="177">
        <v>37</v>
      </c>
      <c r="AM1" s="177">
        <v>38</v>
      </c>
      <c r="AN1" s="177">
        <v>39</v>
      </c>
      <c r="AO1" s="177">
        <v>40</v>
      </c>
      <c r="AP1" s="177">
        <v>41</v>
      </c>
      <c r="AQ1" s="177">
        <v>42</v>
      </c>
      <c r="AR1" s="177">
        <v>43</v>
      </c>
      <c r="AS1" s="177">
        <v>44</v>
      </c>
      <c r="AT1" s="177">
        <v>45</v>
      </c>
      <c r="AU1" s="177">
        <v>46</v>
      </c>
      <c r="AV1" s="177">
        <v>47</v>
      </c>
      <c r="AW1" s="177">
        <v>48</v>
      </c>
      <c r="AX1" s="177">
        <v>49</v>
      </c>
      <c r="AY1" s="177">
        <v>50</v>
      </c>
      <c r="AZ1" s="177">
        <v>51</v>
      </c>
      <c r="BA1" s="177">
        <v>52</v>
      </c>
      <c r="BB1" s="177">
        <v>53</v>
      </c>
      <c r="BC1" s="177">
        <v>54</v>
      </c>
      <c r="BD1" s="177">
        <v>55</v>
      </c>
      <c r="BE1" s="177">
        <v>56</v>
      </c>
      <c r="BF1" s="177">
        <v>57</v>
      </c>
      <c r="BG1" s="177">
        <v>58</v>
      </c>
      <c r="BH1" s="177">
        <v>59</v>
      </c>
      <c r="BI1" s="177">
        <v>60</v>
      </c>
      <c r="BJ1" s="177">
        <v>61</v>
      </c>
      <c r="BK1" s="177">
        <v>62</v>
      </c>
      <c r="BL1" s="177">
        <v>63</v>
      </c>
      <c r="BM1" s="177">
        <v>64</v>
      </c>
      <c r="BN1" s="177">
        <v>65</v>
      </c>
      <c r="BO1" s="177">
        <v>66</v>
      </c>
      <c r="BP1" s="177">
        <v>67</v>
      </c>
      <c r="BQ1" s="177">
        <v>68</v>
      </c>
      <c r="BR1" s="177">
        <v>69</v>
      </c>
      <c r="BS1" s="177">
        <v>70</v>
      </c>
      <c r="BT1" s="177">
        <v>71</v>
      </c>
      <c r="BU1" s="177">
        <v>72</v>
      </c>
      <c r="BV1" s="177">
        <v>73</v>
      </c>
      <c r="BW1" s="177">
        <v>74</v>
      </c>
      <c r="BX1" s="177">
        <v>75</v>
      </c>
      <c r="BY1" s="177">
        <v>76</v>
      </c>
      <c r="BZ1" s="177">
        <v>77</v>
      </c>
      <c r="CA1" s="177">
        <v>78</v>
      </c>
      <c r="CB1" s="177">
        <v>79</v>
      </c>
      <c r="CC1" s="178">
        <v>80</v>
      </c>
    </row>
    <row r="2" spans="1:110" hidden="1">
      <c r="A2" s="121" t="s">
        <v>454</v>
      </c>
      <c r="B2" s="67"/>
      <c r="C2" s="67" t="s">
        <v>455</v>
      </c>
      <c r="D2" s="67" t="s">
        <v>195</v>
      </c>
      <c r="E2" s="67" t="s">
        <v>192</v>
      </c>
      <c r="F2" s="67" t="s">
        <v>456</v>
      </c>
      <c r="G2" s="67" t="s">
        <v>456</v>
      </c>
      <c r="H2" s="67" t="s">
        <v>199</v>
      </c>
      <c r="I2" s="67" t="s">
        <v>455</v>
      </c>
      <c r="J2" s="67" t="s">
        <v>457</v>
      </c>
      <c r="K2" s="67" t="s">
        <v>457</v>
      </c>
      <c r="L2" s="67" t="s">
        <v>457</v>
      </c>
      <c r="M2" s="67" t="str">
        <f>L3</f>
        <v>HX-021</v>
      </c>
      <c r="N2" s="67" t="str">
        <f>M3</f>
        <v>HX-022</v>
      </c>
      <c r="O2" s="67" t="str">
        <f>N3</f>
        <v>Mixer</v>
      </c>
      <c r="P2" s="67" t="str">
        <f>O3</f>
        <v>HX-023</v>
      </c>
      <c r="Q2" s="67" t="str">
        <f>P3</f>
        <v>HX-024</v>
      </c>
      <c r="R2" s="179" t="s">
        <v>458</v>
      </c>
      <c r="S2" s="67" t="str">
        <f>R3</f>
        <v>HX-0024</v>
      </c>
      <c r="T2" s="67" t="str">
        <f>S3</f>
        <v>HX-025</v>
      </c>
      <c r="U2" s="67" t="str">
        <f>T3</f>
        <v>HX-026</v>
      </c>
      <c r="V2" s="67" t="str">
        <f>U3</f>
        <v>HX-022</v>
      </c>
      <c r="W2" s="67" t="str">
        <f>V3</f>
        <v>HX-027</v>
      </c>
      <c r="X2" s="67" t="s">
        <v>197</v>
      </c>
      <c r="Y2" s="67" t="s">
        <v>459</v>
      </c>
      <c r="Z2" s="67" t="s">
        <v>459</v>
      </c>
      <c r="AA2" s="67" t="s">
        <v>203</v>
      </c>
      <c r="AB2" s="67" t="s">
        <v>201</v>
      </c>
      <c r="AC2" s="67" t="s">
        <v>460</v>
      </c>
      <c r="AD2" s="67" t="s">
        <v>460</v>
      </c>
      <c r="AE2" s="67" t="s">
        <v>207</v>
      </c>
      <c r="AF2" s="67" t="s">
        <v>461</v>
      </c>
      <c r="AG2" s="67" t="str">
        <f>AF3</f>
        <v>HX-028</v>
      </c>
      <c r="AH2" s="67" t="str">
        <f>AG3</f>
        <v>HX-029</v>
      </c>
      <c r="AI2" s="67" t="s">
        <v>462</v>
      </c>
      <c r="AJ2" s="179" t="s">
        <v>463</v>
      </c>
      <c r="AK2" s="67" t="str">
        <f>AJ3</f>
        <v>HX-028</v>
      </c>
      <c r="AL2" s="67" t="s">
        <v>205</v>
      </c>
      <c r="AM2" s="67" t="s">
        <v>464</v>
      </c>
      <c r="AN2" s="67" t="s">
        <v>461</v>
      </c>
      <c r="AO2" s="67" t="s">
        <v>221</v>
      </c>
      <c r="AP2" s="67" t="s">
        <v>461</v>
      </c>
      <c r="AQ2" s="67" t="s">
        <v>464</v>
      </c>
      <c r="AR2" s="67" t="s">
        <v>465</v>
      </c>
      <c r="AS2" s="67" t="s">
        <v>466</v>
      </c>
      <c r="AT2" s="67" t="s">
        <v>466</v>
      </c>
      <c r="AU2" s="67" t="s">
        <v>461</v>
      </c>
      <c r="AV2" s="67" t="str">
        <f>AU3</f>
        <v>HX-030</v>
      </c>
      <c r="AW2" s="67" t="s">
        <v>467</v>
      </c>
      <c r="AX2" s="179" t="s">
        <v>468</v>
      </c>
      <c r="AY2" s="67" t="str">
        <f>AX3</f>
        <v>HX-030</v>
      </c>
      <c r="AZ2" s="67" t="s">
        <v>209</v>
      </c>
      <c r="BA2" s="67" t="s">
        <v>469</v>
      </c>
      <c r="BB2" s="67" t="s">
        <v>470</v>
      </c>
      <c r="BC2" s="67" t="s">
        <v>470</v>
      </c>
      <c r="BD2" s="67" t="s">
        <v>211</v>
      </c>
      <c r="BE2" s="67" t="s">
        <v>461</v>
      </c>
      <c r="BF2" s="67" t="s">
        <v>471</v>
      </c>
      <c r="BG2" s="67" t="s">
        <v>461</v>
      </c>
      <c r="BH2" s="67" t="s">
        <v>461</v>
      </c>
      <c r="BI2" s="67" t="str">
        <f>BH3</f>
        <v>HX-031</v>
      </c>
      <c r="BJ2" s="67" t="str">
        <f>BI3</f>
        <v>HX-032</v>
      </c>
      <c r="BK2" s="67" t="s">
        <v>472</v>
      </c>
      <c r="BL2" s="179" t="s">
        <v>473</v>
      </c>
      <c r="BM2" s="67" t="str">
        <f>BL3</f>
        <v>HX-032</v>
      </c>
      <c r="BN2" s="67" t="s">
        <v>213</v>
      </c>
      <c r="BO2" s="67" t="s">
        <v>474</v>
      </c>
      <c r="BP2" s="67" t="s">
        <v>461</v>
      </c>
      <c r="BQ2" s="67" t="s">
        <v>474</v>
      </c>
      <c r="BR2" s="67" t="s">
        <v>215</v>
      </c>
      <c r="BS2" s="67" t="str">
        <f>BR3</f>
        <v>HX-033</v>
      </c>
      <c r="BT2" s="67" t="s">
        <v>217</v>
      </c>
      <c r="BU2" s="67" t="s">
        <v>475</v>
      </c>
      <c r="BV2" s="67" t="str">
        <f>BU3</f>
        <v>HX-033</v>
      </c>
      <c r="BW2" s="67" t="s">
        <v>461</v>
      </c>
      <c r="BX2" s="67" t="s">
        <v>461</v>
      </c>
      <c r="BY2" s="67" t="s">
        <v>475</v>
      </c>
      <c r="BZ2" s="67" t="s">
        <v>476</v>
      </c>
      <c r="CA2" s="67" t="s">
        <v>476</v>
      </c>
      <c r="CB2" s="67" t="s">
        <v>477</v>
      </c>
      <c r="CC2" s="122" t="s">
        <v>477</v>
      </c>
      <c r="CF2" s="180"/>
      <c r="CG2" s="180"/>
      <c r="CH2" s="180"/>
      <c r="CI2" s="180"/>
      <c r="DF2" s="180"/>
    </row>
    <row r="3" spans="1:110" hidden="1">
      <c r="A3" s="121" t="s">
        <v>478</v>
      </c>
      <c r="B3" s="67"/>
      <c r="C3" s="67" t="s">
        <v>195</v>
      </c>
      <c r="D3" s="67" t="s">
        <v>192</v>
      </c>
      <c r="E3" s="67" t="s">
        <v>456</v>
      </c>
      <c r="F3" s="67" t="s">
        <v>461</v>
      </c>
      <c r="G3" s="67" t="s">
        <v>199</v>
      </c>
      <c r="H3" s="67" t="s">
        <v>461</v>
      </c>
      <c r="I3" s="67" t="s">
        <v>457</v>
      </c>
      <c r="J3" s="67" t="s">
        <v>461</v>
      </c>
      <c r="K3" s="67" t="s">
        <v>479</v>
      </c>
      <c r="L3" s="67" t="s">
        <v>480</v>
      </c>
      <c r="M3" s="67" t="s">
        <v>481</v>
      </c>
      <c r="N3" s="67" t="s">
        <v>461</v>
      </c>
      <c r="O3" s="67" t="s">
        <v>482</v>
      </c>
      <c r="P3" s="67" t="s">
        <v>483</v>
      </c>
      <c r="Q3" s="179" t="s">
        <v>458</v>
      </c>
      <c r="R3" s="67" t="s">
        <v>484</v>
      </c>
      <c r="S3" s="67" t="s">
        <v>485</v>
      </c>
      <c r="T3" s="67" t="s">
        <v>486</v>
      </c>
      <c r="U3" s="67" t="s">
        <v>481</v>
      </c>
      <c r="V3" s="67" t="s">
        <v>487</v>
      </c>
      <c r="W3" s="67" t="s">
        <v>197</v>
      </c>
      <c r="X3" s="67" t="s">
        <v>459</v>
      </c>
      <c r="Y3" s="67" t="s">
        <v>461</v>
      </c>
      <c r="Z3" s="67" t="s">
        <v>203</v>
      </c>
      <c r="AA3" s="67" t="s">
        <v>201</v>
      </c>
      <c r="AB3" s="67" t="s">
        <v>460</v>
      </c>
      <c r="AC3" s="67" t="s">
        <v>461</v>
      </c>
      <c r="AD3" s="67" t="s">
        <v>207</v>
      </c>
      <c r="AE3" s="67" t="s">
        <v>461</v>
      </c>
      <c r="AF3" s="67" t="s">
        <v>488</v>
      </c>
      <c r="AG3" s="67" t="s">
        <v>489</v>
      </c>
      <c r="AH3" s="67" t="s">
        <v>462</v>
      </c>
      <c r="AI3" s="179" t="s">
        <v>463</v>
      </c>
      <c r="AJ3" s="67" t="s">
        <v>488</v>
      </c>
      <c r="AK3" s="67" t="s">
        <v>205</v>
      </c>
      <c r="AL3" s="67" t="s">
        <v>464</v>
      </c>
      <c r="AM3" s="67" t="s">
        <v>461</v>
      </c>
      <c r="AN3" s="67" t="s">
        <v>221</v>
      </c>
      <c r="AO3" s="67" t="s">
        <v>461</v>
      </c>
      <c r="AP3" s="67" t="s">
        <v>471</v>
      </c>
      <c r="AQ3" s="67" t="s">
        <v>465</v>
      </c>
      <c r="AR3" s="67" t="s">
        <v>466</v>
      </c>
      <c r="AS3" s="67" t="s">
        <v>461</v>
      </c>
      <c r="AT3" s="67" t="s">
        <v>461</v>
      </c>
      <c r="AU3" s="67" t="s">
        <v>490</v>
      </c>
      <c r="AV3" s="67" t="s">
        <v>467</v>
      </c>
      <c r="AW3" s="179" t="s">
        <v>468</v>
      </c>
      <c r="AX3" s="67" t="s">
        <v>490</v>
      </c>
      <c r="AY3" s="67" t="s">
        <v>209</v>
      </c>
      <c r="AZ3" s="67" t="s">
        <v>469</v>
      </c>
      <c r="BA3" s="67" t="s">
        <v>470</v>
      </c>
      <c r="BB3" s="67" t="s">
        <v>461</v>
      </c>
      <c r="BC3" s="67" t="s">
        <v>211</v>
      </c>
      <c r="BD3" s="67" t="s">
        <v>461</v>
      </c>
      <c r="BE3" s="67" t="s">
        <v>461</v>
      </c>
      <c r="BF3" s="67" t="s">
        <v>461</v>
      </c>
      <c r="BG3" s="67" t="s">
        <v>461</v>
      </c>
      <c r="BH3" s="67" t="s">
        <v>491</v>
      </c>
      <c r="BI3" s="67" t="s">
        <v>492</v>
      </c>
      <c r="BJ3" s="67" t="s">
        <v>472</v>
      </c>
      <c r="BK3" s="179" t="s">
        <v>473</v>
      </c>
      <c r="BL3" s="67" t="s">
        <v>492</v>
      </c>
      <c r="BM3" s="67" t="s">
        <v>213</v>
      </c>
      <c r="BN3" s="67" t="s">
        <v>474</v>
      </c>
      <c r="BO3" s="67" t="s">
        <v>461</v>
      </c>
      <c r="BP3" s="67" t="s">
        <v>493</v>
      </c>
      <c r="BQ3" s="67" t="s">
        <v>215</v>
      </c>
      <c r="BR3" s="67" t="s">
        <v>494</v>
      </c>
      <c r="BS3" s="67" t="s">
        <v>217</v>
      </c>
      <c r="BT3" s="67" t="s">
        <v>475</v>
      </c>
      <c r="BU3" s="67" t="s">
        <v>494</v>
      </c>
      <c r="BV3" s="67" t="s">
        <v>461</v>
      </c>
      <c r="BW3" s="67" t="s">
        <v>461</v>
      </c>
      <c r="BX3" s="179" t="s">
        <v>458</v>
      </c>
      <c r="BY3" s="67" t="s">
        <v>476</v>
      </c>
      <c r="BZ3" s="67" t="s">
        <v>495</v>
      </c>
      <c r="CA3" s="67" t="s">
        <v>477</v>
      </c>
      <c r="CB3" s="67" t="s">
        <v>455</v>
      </c>
      <c r="CC3" s="122" t="s">
        <v>455</v>
      </c>
      <c r="CF3" s="180"/>
      <c r="CG3" s="180"/>
      <c r="DF3" s="180"/>
    </row>
    <row r="4" spans="1:110" hidden="1">
      <c r="A4" s="121" t="s">
        <v>496</v>
      </c>
      <c r="B4" s="67"/>
      <c r="C4" s="67"/>
      <c r="D4" s="67"/>
      <c r="E4" s="67"/>
      <c r="F4" s="67"/>
      <c r="G4" s="67"/>
      <c r="H4" s="67"/>
      <c r="I4" s="67"/>
      <c r="J4" s="67"/>
      <c r="K4" s="67"/>
      <c r="L4" s="67"/>
      <c r="M4" s="67"/>
      <c r="N4" s="67"/>
      <c r="O4" s="67"/>
      <c r="P4" s="67"/>
      <c r="Q4" s="67"/>
      <c r="R4" s="67"/>
      <c r="S4" s="67"/>
      <c r="T4" s="67"/>
      <c r="U4" s="67"/>
      <c r="V4" s="67"/>
      <c r="W4" s="67"/>
      <c r="X4" s="67"/>
      <c r="Y4" s="67"/>
      <c r="Z4" s="67"/>
      <c r="AA4" s="67"/>
      <c r="AB4" s="67"/>
      <c r="AC4" s="67"/>
      <c r="AD4" s="67"/>
      <c r="AE4" s="67"/>
      <c r="AF4" s="67"/>
      <c r="AG4" s="67"/>
      <c r="AH4" s="67"/>
      <c r="AI4" s="67"/>
      <c r="AJ4" s="67"/>
      <c r="AK4" s="67"/>
      <c r="AL4" s="67"/>
      <c r="AM4" s="67"/>
      <c r="AN4" s="67"/>
      <c r="AO4" s="67"/>
      <c r="AP4" s="67"/>
      <c r="AQ4" s="67"/>
      <c r="AR4" s="67"/>
      <c r="AS4" s="67"/>
      <c r="AT4" s="67"/>
      <c r="AU4" s="67"/>
      <c r="AV4" s="67"/>
      <c r="AW4" s="67"/>
      <c r="AX4" s="67"/>
      <c r="AY4" s="67"/>
      <c r="AZ4" s="67"/>
      <c r="BA4" s="67"/>
      <c r="BB4" s="67"/>
      <c r="BC4" s="67"/>
      <c r="BD4" s="67"/>
      <c r="BE4" s="67"/>
      <c r="BF4" s="67"/>
      <c r="BG4" s="67"/>
      <c r="BH4" s="67"/>
      <c r="BI4" s="67"/>
      <c r="BJ4" s="67"/>
      <c r="BK4" s="67"/>
      <c r="BL4" s="67"/>
      <c r="BM4" s="67"/>
      <c r="BN4" s="67"/>
      <c r="BO4" s="67"/>
      <c r="BP4" s="67"/>
      <c r="BQ4" s="67"/>
      <c r="BR4" s="67"/>
      <c r="BS4" s="67"/>
      <c r="BT4" s="67"/>
      <c r="BU4" s="67"/>
      <c r="BV4" s="67"/>
      <c r="BW4" s="67"/>
      <c r="BX4" s="67"/>
      <c r="BY4" s="67"/>
      <c r="BZ4" s="67"/>
      <c r="CA4" s="67"/>
      <c r="CB4" s="67"/>
      <c r="CC4" s="122"/>
    </row>
    <row r="5" spans="1:110">
      <c r="A5" s="121" t="s">
        <v>497</v>
      </c>
      <c r="B5" s="67" t="s">
        <v>498</v>
      </c>
      <c r="C5" s="137">
        <v>25</v>
      </c>
      <c r="D5" s="137">
        <v>108.878599630944</v>
      </c>
      <c r="E5" s="137">
        <v>40</v>
      </c>
      <c r="F5" s="137"/>
      <c r="G5" s="137">
        <v>40</v>
      </c>
      <c r="H5" s="137">
        <v>160.74011054076001</v>
      </c>
      <c r="I5" s="137">
        <v>25</v>
      </c>
      <c r="J5" s="137">
        <v>60</v>
      </c>
      <c r="K5" s="137">
        <v>60</v>
      </c>
      <c r="L5" s="137">
        <v>60</v>
      </c>
      <c r="M5" s="137">
        <v>102</v>
      </c>
      <c r="N5" s="137">
        <v>130</v>
      </c>
      <c r="O5" s="137">
        <v>138.88186038880099</v>
      </c>
      <c r="P5" s="137">
        <v>220</v>
      </c>
      <c r="Q5" s="137">
        <v>347</v>
      </c>
      <c r="R5" s="137">
        <v>600</v>
      </c>
      <c r="S5" s="137">
        <v>472.602025200892</v>
      </c>
      <c r="T5" s="137">
        <v>272</v>
      </c>
      <c r="U5" s="137">
        <v>250</v>
      </c>
      <c r="V5" s="137">
        <v>230.76652385999799</v>
      </c>
      <c r="W5" s="137">
        <v>206</v>
      </c>
      <c r="X5" s="137">
        <v>40</v>
      </c>
      <c r="Y5" s="137">
        <v>40</v>
      </c>
      <c r="Z5" s="137">
        <v>40</v>
      </c>
      <c r="AA5" s="137">
        <v>140.68895440073101</v>
      </c>
      <c r="AB5" s="137">
        <v>40</v>
      </c>
      <c r="AC5" s="137">
        <v>40</v>
      </c>
      <c r="AD5" s="137">
        <v>40</v>
      </c>
      <c r="AE5" s="137">
        <v>141.693980571921</v>
      </c>
      <c r="AF5" s="137">
        <v>78.086131251607995</v>
      </c>
      <c r="AG5" s="137">
        <v>183.03850855892901</v>
      </c>
      <c r="AH5" s="137">
        <v>220</v>
      </c>
      <c r="AI5" s="137">
        <v>242</v>
      </c>
      <c r="AJ5" s="137">
        <v>249.32276279565801</v>
      </c>
      <c r="AK5" s="137">
        <v>138.08160000000001</v>
      </c>
      <c r="AL5" s="137">
        <v>40</v>
      </c>
      <c r="AM5" s="137">
        <v>40</v>
      </c>
      <c r="AN5" s="137">
        <v>42.263220737598999</v>
      </c>
      <c r="AO5" s="137">
        <v>53.990877360733002</v>
      </c>
      <c r="AP5" s="137">
        <v>42.263220737598999</v>
      </c>
      <c r="AQ5" s="137">
        <v>40</v>
      </c>
      <c r="AR5" s="137">
        <v>54.714765125591001</v>
      </c>
      <c r="AS5" s="137">
        <v>214.939958951449</v>
      </c>
      <c r="AT5" s="137">
        <v>166.677019051429</v>
      </c>
      <c r="AU5" s="137">
        <v>167.69030838686399</v>
      </c>
      <c r="AV5" s="137">
        <v>189.78774271240101</v>
      </c>
      <c r="AW5" s="137">
        <v>220</v>
      </c>
      <c r="AX5" s="137">
        <v>220</v>
      </c>
      <c r="AY5" s="137">
        <v>197.690328088705</v>
      </c>
      <c r="AZ5" s="137">
        <v>60</v>
      </c>
      <c r="BA5" s="137">
        <v>191.30179638662699</v>
      </c>
      <c r="BB5" s="137">
        <v>214.70214586643701</v>
      </c>
      <c r="BC5" s="137">
        <v>164.795675085185</v>
      </c>
      <c r="BD5" s="137">
        <v>177.19427772955501</v>
      </c>
      <c r="BE5" s="137">
        <v>73.491229419198007</v>
      </c>
      <c r="BF5" s="137">
        <v>39.352394591466997</v>
      </c>
      <c r="BG5" s="137">
        <v>56.906252445710003</v>
      </c>
      <c r="BH5" s="137">
        <v>29.456966834092999</v>
      </c>
      <c r="BI5" s="137">
        <v>102</v>
      </c>
      <c r="BJ5" s="137">
        <v>239.999993191203</v>
      </c>
      <c r="BK5" s="137">
        <v>340</v>
      </c>
      <c r="BL5" s="137">
        <v>340</v>
      </c>
      <c r="BM5" s="137">
        <v>210.658856796501</v>
      </c>
      <c r="BN5" s="137">
        <v>40</v>
      </c>
      <c r="BO5" s="137">
        <v>40</v>
      </c>
      <c r="BP5" s="137">
        <v>123.46313679483001</v>
      </c>
      <c r="BQ5" s="137">
        <v>40</v>
      </c>
      <c r="BR5" s="137">
        <v>55.160294951190998</v>
      </c>
      <c r="BS5" s="137">
        <v>-4.5975511885269498</v>
      </c>
      <c r="BT5" s="137">
        <v>-45</v>
      </c>
      <c r="BU5" s="137">
        <v>-45</v>
      </c>
      <c r="BV5" s="137">
        <v>25.160294949967</v>
      </c>
      <c r="BW5" s="137">
        <v>25.018799999999999</v>
      </c>
      <c r="BX5" s="137">
        <v>25.018799999999999</v>
      </c>
      <c r="BY5" s="137">
        <v>-45</v>
      </c>
      <c r="BZ5" s="137">
        <v>-19.757790087277002</v>
      </c>
      <c r="CA5" s="137">
        <v>123.902482236354</v>
      </c>
      <c r="CB5" s="137">
        <v>169.834685924214</v>
      </c>
      <c r="CC5" s="127">
        <v>93.434726546524004</v>
      </c>
    </row>
    <row r="6" spans="1:110">
      <c r="A6" s="121" t="s">
        <v>499</v>
      </c>
      <c r="B6" s="67" t="s">
        <v>500</v>
      </c>
      <c r="C6" s="137">
        <v>0.99999999998377598</v>
      </c>
      <c r="D6" s="137">
        <v>3.3166247899461898</v>
      </c>
      <c r="E6" s="137">
        <v>3.316624789779</v>
      </c>
      <c r="F6" s="137"/>
      <c r="G6" s="137">
        <v>3.316624789779</v>
      </c>
      <c r="H6" s="137">
        <v>10.999999996909599</v>
      </c>
      <c r="I6" s="137">
        <v>0.99999999998377598</v>
      </c>
      <c r="J6" s="137">
        <v>10.9999999960725</v>
      </c>
      <c r="K6" s="137">
        <v>10.9999999960725</v>
      </c>
      <c r="L6" s="137">
        <v>10.9999999960725</v>
      </c>
      <c r="M6" s="137">
        <v>11</v>
      </c>
      <c r="N6" s="137">
        <v>11</v>
      </c>
      <c r="O6" s="137">
        <v>11</v>
      </c>
      <c r="P6" s="137">
        <v>11</v>
      </c>
      <c r="Q6" s="137">
        <v>11</v>
      </c>
      <c r="R6" s="137">
        <v>10.9999999960725</v>
      </c>
      <c r="S6" s="137">
        <v>11</v>
      </c>
      <c r="T6" s="137">
        <v>11</v>
      </c>
      <c r="U6" s="137">
        <v>11</v>
      </c>
      <c r="V6" s="137">
        <v>11</v>
      </c>
      <c r="W6" s="137">
        <v>11</v>
      </c>
      <c r="X6" s="137">
        <v>10.9999999960725</v>
      </c>
      <c r="Y6" s="137">
        <v>10.9999999960725</v>
      </c>
      <c r="Z6" s="137">
        <v>10.9999999960725</v>
      </c>
      <c r="AA6" s="137">
        <v>23.6854385595433</v>
      </c>
      <c r="AB6" s="137">
        <v>23.6854385597603</v>
      </c>
      <c r="AC6" s="137">
        <v>23.6854385597603</v>
      </c>
      <c r="AD6" s="137">
        <v>23.6854385597603</v>
      </c>
      <c r="AE6" s="137">
        <v>50.999999996667299</v>
      </c>
      <c r="AF6" s="137">
        <v>50.999999996667299</v>
      </c>
      <c r="AG6" s="137">
        <v>51</v>
      </c>
      <c r="AH6" s="137">
        <v>51</v>
      </c>
      <c r="AI6" s="137">
        <v>50.999999997449997</v>
      </c>
      <c r="AJ6" s="137">
        <v>50.999999997449997</v>
      </c>
      <c r="AK6" s="137">
        <v>51</v>
      </c>
      <c r="AL6" s="137">
        <v>46.000000001077503</v>
      </c>
      <c r="AM6" s="137">
        <v>46.000000001077503</v>
      </c>
      <c r="AN6" s="137">
        <v>46.000000001077503</v>
      </c>
      <c r="AO6" s="137">
        <v>51</v>
      </c>
      <c r="AP6" s="137">
        <v>46.000000001077503</v>
      </c>
      <c r="AQ6" s="137">
        <v>46.000000001077503</v>
      </c>
      <c r="AR6" s="137">
        <v>20.999999998949999</v>
      </c>
      <c r="AS6" s="137">
        <v>20.999999998949999</v>
      </c>
      <c r="AT6" s="137">
        <v>20.999999998949999</v>
      </c>
      <c r="AU6" s="137">
        <v>20.999999998949999</v>
      </c>
      <c r="AV6" s="137">
        <v>21</v>
      </c>
      <c r="AW6" s="137">
        <v>20.999999998949999</v>
      </c>
      <c r="AX6" s="137">
        <v>20.999999998949999</v>
      </c>
      <c r="AY6" s="137">
        <v>21</v>
      </c>
      <c r="AZ6" s="137">
        <v>20.999999998949999</v>
      </c>
      <c r="BA6" s="137">
        <v>20.999999998949999</v>
      </c>
      <c r="BB6" s="137">
        <v>20.999999998949999</v>
      </c>
      <c r="BC6" s="137">
        <v>18.504811249999999</v>
      </c>
      <c r="BD6" s="137">
        <v>20.999999998949999</v>
      </c>
      <c r="BE6" s="137">
        <v>20.999999998949999</v>
      </c>
      <c r="BF6" s="137">
        <v>20.999999998949999</v>
      </c>
      <c r="BG6" s="137">
        <v>20.999999998949999</v>
      </c>
      <c r="BH6" s="137">
        <v>20.999999998949999</v>
      </c>
      <c r="BI6" s="137">
        <v>21</v>
      </c>
      <c r="BJ6" s="137">
        <v>21</v>
      </c>
      <c r="BK6" s="137">
        <v>20.999999998949999</v>
      </c>
      <c r="BL6" s="137">
        <v>20.999999998949999</v>
      </c>
      <c r="BM6" s="137">
        <v>21</v>
      </c>
      <c r="BN6" s="137">
        <v>20.999999998949999</v>
      </c>
      <c r="BO6" s="137">
        <v>19.600000002397501</v>
      </c>
      <c r="BP6" s="137">
        <v>10.9999999960725</v>
      </c>
      <c r="BQ6" s="137">
        <v>19.600000002397501</v>
      </c>
      <c r="BR6" s="137">
        <v>21.7499999989125</v>
      </c>
      <c r="BS6" s="137">
        <v>20.465581050086399</v>
      </c>
      <c r="BT6" s="137">
        <v>21.7499999989125</v>
      </c>
      <c r="BU6" s="137">
        <v>21.7499999989125</v>
      </c>
      <c r="BV6" s="137">
        <v>20.465581051073301</v>
      </c>
      <c r="BW6" s="137">
        <v>21.7499999989125</v>
      </c>
      <c r="BX6" s="137">
        <v>21.7499999989125</v>
      </c>
      <c r="BY6" s="137">
        <v>21.7499999989125</v>
      </c>
      <c r="BZ6" s="137">
        <v>20.999999998949999</v>
      </c>
      <c r="CA6" s="137">
        <v>20.999999998949999</v>
      </c>
      <c r="CB6" s="137">
        <v>20.999999998949999</v>
      </c>
      <c r="CC6" s="127">
        <v>20.999999998949999</v>
      </c>
    </row>
    <row r="7" spans="1:110">
      <c r="A7" s="121" t="s">
        <v>501</v>
      </c>
      <c r="B7" s="67"/>
      <c r="C7" s="137">
        <v>0.97720034726743399</v>
      </c>
      <c r="D7" s="137">
        <v>1</v>
      </c>
      <c r="E7" s="137">
        <v>0.97751878019679195</v>
      </c>
      <c r="F7" s="137"/>
      <c r="G7" s="137">
        <v>1</v>
      </c>
      <c r="H7" s="137">
        <v>1</v>
      </c>
      <c r="I7" s="137">
        <v>0</v>
      </c>
      <c r="J7" s="137">
        <v>1</v>
      </c>
      <c r="K7" s="137">
        <v>1</v>
      </c>
      <c r="L7" s="137">
        <v>1</v>
      </c>
      <c r="M7" s="137">
        <v>1</v>
      </c>
      <c r="N7" s="137">
        <v>1</v>
      </c>
      <c r="O7" s="137">
        <v>1</v>
      </c>
      <c r="P7" s="137">
        <v>1</v>
      </c>
      <c r="Q7" s="137">
        <v>1</v>
      </c>
      <c r="R7" s="137">
        <v>1</v>
      </c>
      <c r="S7" s="137">
        <v>1</v>
      </c>
      <c r="T7" s="137">
        <v>1</v>
      </c>
      <c r="U7" s="137">
        <v>1</v>
      </c>
      <c r="V7" s="137">
        <v>1</v>
      </c>
      <c r="W7" s="137">
        <v>1</v>
      </c>
      <c r="X7" s="137">
        <v>0.83736487270951598</v>
      </c>
      <c r="Y7" s="137">
        <v>0</v>
      </c>
      <c r="Z7" s="137">
        <v>1</v>
      </c>
      <c r="AA7" s="137">
        <v>1</v>
      </c>
      <c r="AB7" s="137">
        <v>0.992986417943306</v>
      </c>
      <c r="AC7" s="137">
        <v>0</v>
      </c>
      <c r="AD7" s="137">
        <v>1</v>
      </c>
      <c r="AE7" s="137">
        <v>1</v>
      </c>
      <c r="AF7" s="137">
        <v>1</v>
      </c>
      <c r="AG7" s="137">
        <v>1</v>
      </c>
      <c r="AH7" s="137">
        <v>1</v>
      </c>
      <c r="AI7" s="137">
        <v>1</v>
      </c>
      <c r="AJ7" s="137">
        <v>1</v>
      </c>
      <c r="AK7" s="137">
        <v>1</v>
      </c>
      <c r="AL7" s="137">
        <v>0.86159196507601798</v>
      </c>
      <c r="AM7" s="137">
        <v>1</v>
      </c>
      <c r="AN7" s="137">
        <v>0.99891372812434298</v>
      </c>
      <c r="AO7" s="137">
        <v>0.99928453414005702</v>
      </c>
      <c r="AP7" s="137">
        <v>0.99891372812434298</v>
      </c>
      <c r="AQ7" s="137">
        <v>0</v>
      </c>
      <c r="AR7" s="137">
        <v>3.0176795500004299E-3</v>
      </c>
      <c r="AS7" s="137">
        <v>0</v>
      </c>
      <c r="AT7" s="137">
        <v>1</v>
      </c>
      <c r="AU7" s="137">
        <v>1</v>
      </c>
      <c r="AV7" s="137">
        <v>1</v>
      </c>
      <c r="AW7" s="137">
        <v>1</v>
      </c>
      <c r="AX7" s="137">
        <v>1</v>
      </c>
      <c r="AY7" s="137">
        <v>1</v>
      </c>
      <c r="AZ7" s="137">
        <v>5.6028959285425702E-3</v>
      </c>
      <c r="BA7" s="137">
        <v>0</v>
      </c>
      <c r="BB7" s="137">
        <v>0</v>
      </c>
      <c r="BC7" s="137">
        <v>1</v>
      </c>
      <c r="BD7" s="137">
        <v>1</v>
      </c>
      <c r="BE7" s="137">
        <v>1</v>
      </c>
      <c r="BF7" s="137">
        <v>1</v>
      </c>
      <c r="BG7" s="137">
        <v>1</v>
      </c>
      <c r="BH7" s="137">
        <v>0.98269969294247395</v>
      </c>
      <c r="BI7" s="137">
        <v>1</v>
      </c>
      <c r="BJ7" s="137">
        <v>1</v>
      </c>
      <c r="BK7" s="137">
        <v>1</v>
      </c>
      <c r="BL7" s="137">
        <v>1</v>
      </c>
      <c r="BM7" s="137">
        <v>1</v>
      </c>
      <c r="BN7" s="137">
        <v>0.93521867739720699</v>
      </c>
      <c r="BO7" s="137">
        <v>0</v>
      </c>
      <c r="BP7" s="137">
        <v>2.6445679558229101E-5</v>
      </c>
      <c r="BQ7" s="137">
        <v>1</v>
      </c>
      <c r="BR7" s="137">
        <v>0.99686649626221602</v>
      </c>
      <c r="BS7" s="137">
        <v>0.99422033078971594</v>
      </c>
      <c r="BT7" s="137">
        <v>0.92901851395906798</v>
      </c>
      <c r="BU7" s="137">
        <v>1</v>
      </c>
      <c r="BV7" s="137">
        <v>1</v>
      </c>
      <c r="BW7" s="137">
        <v>0.997267095847445</v>
      </c>
      <c r="BX7" s="137">
        <v>0.997267095847445</v>
      </c>
      <c r="BY7" s="137">
        <v>0</v>
      </c>
      <c r="BZ7" s="137">
        <v>0.99999994209541798</v>
      </c>
      <c r="CA7" s="137">
        <v>0</v>
      </c>
      <c r="CB7" s="137">
        <v>0</v>
      </c>
      <c r="CC7" s="127">
        <v>0</v>
      </c>
    </row>
    <row r="8" spans="1:110">
      <c r="A8" s="121" t="s">
        <v>502</v>
      </c>
      <c r="B8" s="67"/>
      <c r="C8" s="137">
        <v>2.2799652732566001E-2</v>
      </c>
      <c r="D8" s="137">
        <v>0</v>
      </c>
      <c r="E8" s="137">
        <v>2.24812198032079E-2</v>
      </c>
      <c r="F8" s="137"/>
      <c r="G8" s="137">
        <v>0</v>
      </c>
      <c r="H8" s="137">
        <v>0</v>
      </c>
      <c r="I8" s="137">
        <v>1</v>
      </c>
      <c r="J8" s="137">
        <v>0</v>
      </c>
      <c r="K8" s="137">
        <v>0</v>
      </c>
      <c r="L8" s="137">
        <v>0</v>
      </c>
      <c r="M8" s="137">
        <v>0</v>
      </c>
      <c r="N8" s="137">
        <v>0</v>
      </c>
      <c r="O8" s="137">
        <v>0</v>
      </c>
      <c r="P8" s="137">
        <v>0</v>
      </c>
      <c r="Q8" s="137">
        <v>0</v>
      </c>
      <c r="R8" s="137">
        <v>0</v>
      </c>
      <c r="S8" s="137">
        <v>0</v>
      </c>
      <c r="T8" s="137">
        <v>0</v>
      </c>
      <c r="U8" s="137">
        <v>0</v>
      </c>
      <c r="V8" s="137">
        <v>0</v>
      </c>
      <c r="W8" s="137">
        <v>0</v>
      </c>
      <c r="X8" s="137">
        <v>0.16263512729048399</v>
      </c>
      <c r="Y8" s="137">
        <v>1</v>
      </c>
      <c r="Z8" s="137">
        <v>0</v>
      </c>
      <c r="AA8" s="137">
        <v>0</v>
      </c>
      <c r="AB8" s="137">
        <v>7.0135820566941103E-3</v>
      </c>
      <c r="AC8" s="137">
        <v>1</v>
      </c>
      <c r="AD8" s="137">
        <v>0</v>
      </c>
      <c r="AE8" s="137">
        <v>0</v>
      </c>
      <c r="AF8" s="137">
        <v>0</v>
      </c>
      <c r="AG8" s="137">
        <v>0</v>
      </c>
      <c r="AH8" s="137">
        <v>0</v>
      </c>
      <c r="AI8" s="137">
        <v>0</v>
      </c>
      <c r="AJ8" s="137">
        <v>0</v>
      </c>
      <c r="AK8" s="137">
        <v>0</v>
      </c>
      <c r="AL8" s="137">
        <v>0.13840803492398199</v>
      </c>
      <c r="AM8" s="137">
        <v>0</v>
      </c>
      <c r="AN8" s="137">
        <v>1.08627187565702E-3</v>
      </c>
      <c r="AO8" s="137">
        <v>7.1546585994330903E-4</v>
      </c>
      <c r="AP8" s="137">
        <v>1.08627187565702E-3</v>
      </c>
      <c r="AQ8" s="137">
        <v>1</v>
      </c>
      <c r="AR8" s="137">
        <v>0.99698232045000001</v>
      </c>
      <c r="AS8" s="137">
        <v>1</v>
      </c>
      <c r="AT8" s="137">
        <v>0</v>
      </c>
      <c r="AU8" s="137">
        <v>0</v>
      </c>
      <c r="AV8" s="137">
        <v>0</v>
      </c>
      <c r="AW8" s="137">
        <v>0</v>
      </c>
      <c r="AX8" s="137">
        <v>0</v>
      </c>
      <c r="AY8" s="137">
        <v>0</v>
      </c>
      <c r="AZ8" s="137">
        <v>0.99439710407145698</v>
      </c>
      <c r="BA8" s="137">
        <v>1</v>
      </c>
      <c r="BB8" s="137">
        <v>1</v>
      </c>
      <c r="BC8" s="137">
        <v>0</v>
      </c>
      <c r="BD8" s="137">
        <v>0</v>
      </c>
      <c r="BE8" s="137">
        <v>0</v>
      </c>
      <c r="BF8" s="137">
        <v>0</v>
      </c>
      <c r="BG8" s="137">
        <v>0</v>
      </c>
      <c r="BH8" s="137">
        <v>1.7300307057526498E-2</v>
      </c>
      <c r="BI8" s="137">
        <v>0</v>
      </c>
      <c r="BJ8" s="137">
        <v>0</v>
      </c>
      <c r="BK8" s="137">
        <v>0</v>
      </c>
      <c r="BL8" s="137">
        <v>0</v>
      </c>
      <c r="BM8" s="137">
        <v>0</v>
      </c>
      <c r="BN8" s="137">
        <v>6.4781322602793096E-2</v>
      </c>
      <c r="BO8" s="137">
        <v>1</v>
      </c>
      <c r="BP8" s="137">
        <v>0.99997355432044199</v>
      </c>
      <c r="BQ8" s="137">
        <v>0</v>
      </c>
      <c r="BR8" s="137">
        <v>3.1335037377842002E-3</v>
      </c>
      <c r="BS8" s="137">
        <v>5.7796692102841697E-3</v>
      </c>
      <c r="BT8" s="137">
        <v>7.0981486040932004E-2</v>
      </c>
      <c r="BU8" s="137">
        <v>0</v>
      </c>
      <c r="BV8" s="137">
        <v>0</v>
      </c>
      <c r="BW8" s="137">
        <v>2.73290415255545E-3</v>
      </c>
      <c r="BX8" s="137">
        <v>2.73290415255545E-3</v>
      </c>
      <c r="BY8" s="137">
        <v>1</v>
      </c>
      <c r="BZ8" s="137">
        <v>5.7904581685086498E-8</v>
      </c>
      <c r="CA8" s="137">
        <v>1</v>
      </c>
      <c r="CB8" s="137">
        <v>1</v>
      </c>
      <c r="CC8" s="127">
        <v>1</v>
      </c>
      <c r="CZ8" s="181"/>
    </row>
    <row r="9" spans="1:110" hidden="1">
      <c r="A9" s="121" t="s">
        <v>503</v>
      </c>
      <c r="B9" s="67"/>
      <c r="C9" s="137">
        <v>9.4628304294938105E-3</v>
      </c>
      <c r="D9" s="137">
        <v>0</v>
      </c>
      <c r="E9" s="137">
        <v>9.3306671527534392E-3</v>
      </c>
      <c r="F9" s="137"/>
      <c r="G9" s="137">
        <v>0</v>
      </c>
      <c r="H9" s="137">
        <v>0</v>
      </c>
      <c r="I9" s="137">
        <v>1</v>
      </c>
      <c r="J9" s="137">
        <v>0</v>
      </c>
      <c r="K9" s="137">
        <v>0</v>
      </c>
      <c r="L9" s="137">
        <v>0</v>
      </c>
      <c r="M9" s="137">
        <v>0</v>
      </c>
      <c r="N9" s="137">
        <v>0</v>
      </c>
      <c r="O9" s="137">
        <v>0</v>
      </c>
      <c r="P9" s="137">
        <v>0</v>
      </c>
      <c r="Q9" s="137">
        <v>0</v>
      </c>
      <c r="R9" s="137"/>
      <c r="S9" s="137">
        <v>0</v>
      </c>
      <c r="T9" s="137">
        <v>0</v>
      </c>
      <c r="U9" s="137">
        <v>0</v>
      </c>
      <c r="V9" s="137">
        <v>0</v>
      </c>
      <c r="W9" s="137">
        <v>0</v>
      </c>
      <c r="X9" s="137">
        <v>0.23008104005753999</v>
      </c>
      <c r="Y9" s="137">
        <v>1</v>
      </c>
      <c r="Z9" s="137">
        <v>0</v>
      </c>
      <c r="AA9" s="137">
        <v>0</v>
      </c>
      <c r="AB9" s="137">
        <v>1.07535192729329E-2</v>
      </c>
      <c r="AC9" s="137">
        <v>1</v>
      </c>
      <c r="AD9" s="137">
        <v>0</v>
      </c>
      <c r="AE9" s="137">
        <v>0</v>
      </c>
      <c r="AF9" s="137">
        <v>0</v>
      </c>
      <c r="AG9" s="137">
        <v>0</v>
      </c>
      <c r="AH9" s="137">
        <v>0</v>
      </c>
      <c r="AI9" s="137">
        <v>0</v>
      </c>
      <c r="AJ9" s="137">
        <v>0</v>
      </c>
      <c r="AK9" s="137">
        <v>0</v>
      </c>
      <c r="AL9" s="137">
        <v>0.31104677398251002</v>
      </c>
      <c r="AM9" s="137">
        <v>0</v>
      </c>
      <c r="AN9" s="137">
        <v>1.79141398643723E-3</v>
      </c>
      <c r="AO9" s="137">
        <v>1.1799316614471401E-3</v>
      </c>
      <c r="AP9" s="137">
        <v>1.79177206190051E-3</v>
      </c>
      <c r="AQ9" s="137">
        <v>1</v>
      </c>
      <c r="AR9" s="137">
        <v>0.99939151850753305</v>
      </c>
      <c r="AS9" s="137">
        <v>1</v>
      </c>
      <c r="AT9" s="137">
        <v>0</v>
      </c>
      <c r="AU9" s="137">
        <v>0</v>
      </c>
      <c r="AV9" s="137">
        <v>0</v>
      </c>
      <c r="AW9" s="137">
        <v>0</v>
      </c>
      <c r="AX9" s="137">
        <v>0</v>
      </c>
      <c r="AY9" s="137">
        <v>0</v>
      </c>
      <c r="AZ9" s="137">
        <v>0.99659107255303403</v>
      </c>
      <c r="BA9" s="137">
        <v>1</v>
      </c>
      <c r="BB9" s="137">
        <v>1</v>
      </c>
      <c r="BC9" s="137">
        <v>0</v>
      </c>
      <c r="BD9" s="137">
        <v>0</v>
      </c>
      <c r="BE9" s="137">
        <v>7.5928152654114496E-13</v>
      </c>
      <c r="BF9" s="137">
        <v>0</v>
      </c>
      <c r="BG9" s="137">
        <v>0</v>
      </c>
      <c r="BH9" s="137">
        <v>4.6522448117146703E-2</v>
      </c>
      <c r="BI9" s="137">
        <v>0</v>
      </c>
      <c r="BJ9" s="137">
        <v>0</v>
      </c>
      <c r="BK9" s="137">
        <v>0</v>
      </c>
      <c r="BL9" s="137">
        <v>0</v>
      </c>
      <c r="BM9" s="137">
        <v>0</v>
      </c>
      <c r="BN9" s="137">
        <v>9.5283247580152899E-2</v>
      </c>
      <c r="BO9" s="137">
        <v>1</v>
      </c>
      <c r="BP9" s="137">
        <v>0.99998931484369702</v>
      </c>
      <c r="BQ9" s="137">
        <v>0</v>
      </c>
      <c r="BR9" s="137">
        <v>3.5078090130308301E-3</v>
      </c>
      <c r="BS9" s="137">
        <v>1.78732755174573E-2</v>
      </c>
      <c r="BT9" s="137">
        <v>0.19726126490581999</v>
      </c>
      <c r="BU9" s="137">
        <v>0</v>
      </c>
      <c r="BV9" s="137">
        <v>0</v>
      </c>
      <c r="BW9" s="137">
        <v>8.6572329238652195E-3</v>
      </c>
      <c r="BX9" s="137">
        <v>8.6346059511757094E-3</v>
      </c>
      <c r="BY9" s="137">
        <v>1</v>
      </c>
      <c r="BZ9" s="137">
        <v>6.0279820468522898E-8</v>
      </c>
      <c r="CA9" s="137">
        <v>1</v>
      </c>
      <c r="CB9" s="137">
        <v>1</v>
      </c>
      <c r="CC9" s="127">
        <v>1</v>
      </c>
      <c r="CZ9" s="181"/>
    </row>
    <row r="10" spans="1:110" hidden="1">
      <c r="A10" s="121" t="s">
        <v>504</v>
      </c>
      <c r="B10" s="67" t="s">
        <v>505</v>
      </c>
      <c r="C10" s="137">
        <v>4.1484353805809102E-2</v>
      </c>
      <c r="D10" s="137">
        <v>0.10526542092246099</v>
      </c>
      <c r="E10" s="137">
        <v>0.13218607784372999</v>
      </c>
      <c r="F10" s="137"/>
      <c r="G10" s="137">
        <v>0.129315239638183</v>
      </c>
      <c r="H10" s="137">
        <v>0.31044960717798997</v>
      </c>
      <c r="I10" s="137">
        <v>55.345254552022702</v>
      </c>
      <c r="J10" s="137">
        <f>(J28*L10)+(K10*J34)</f>
        <v>0.39613911935999069</v>
      </c>
      <c r="K10" s="137">
        <v>0.39901104801133203</v>
      </c>
      <c r="L10" s="137">
        <v>0.39470315503432002</v>
      </c>
      <c r="M10" s="137">
        <v>0.35097222747165402</v>
      </c>
      <c r="N10" s="137">
        <v>0.326689358315704</v>
      </c>
      <c r="O10" s="137">
        <v>0.32002591574911099</v>
      </c>
      <c r="P10" s="137">
        <v>0.267330365056203</v>
      </c>
      <c r="Q10" s="137">
        <v>0.21263190410222399</v>
      </c>
      <c r="R10" s="137">
        <v>0.151213590006995</v>
      </c>
      <c r="S10" s="137">
        <v>0.176951279424892</v>
      </c>
      <c r="T10" s="137">
        <v>0.242169105468138</v>
      </c>
      <c r="U10" s="137">
        <v>0.25239615693241602</v>
      </c>
      <c r="V10" s="137">
        <v>0.26207926342954202</v>
      </c>
      <c r="W10" s="137">
        <v>0.27571213354946</v>
      </c>
      <c r="X10" s="137">
        <v>0.50227939624260298</v>
      </c>
      <c r="Y10" s="137">
        <v>50.695549541032698</v>
      </c>
      <c r="Z10" s="137">
        <v>0.42063376986462597</v>
      </c>
      <c r="AA10" s="137">
        <v>0.68289111944709502</v>
      </c>
      <c r="AB10" s="137">
        <v>0.90982127465115703</v>
      </c>
      <c r="AC10" s="137">
        <v>50.693927625689703</v>
      </c>
      <c r="AD10" s="137">
        <v>0.90075586999150503</v>
      </c>
      <c r="AE10" s="137">
        <v>1.4521416199957</v>
      </c>
      <c r="AF10" s="137">
        <v>1.72042660525985</v>
      </c>
      <c r="AG10" s="137">
        <v>1.32004435300842</v>
      </c>
      <c r="AH10" s="137">
        <v>1.22147821496201</v>
      </c>
      <c r="AI10" s="137">
        <v>1.1711447489100599</v>
      </c>
      <c r="AJ10" s="137">
        <v>1.1643077651253999</v>
      </c>
      <c r="AK10" s="137">
        <v>1.48724281830959</v>
      </c>
      <c r="AL10" s="137">
        <v>2.0070853372382</v>
      </c>
      <c r="AM10" s="137">
        <v>1.73783254253956</v>
      </c>
      <c r="AN10" s="137">
        <v>1.7378004747184399</v>
      </c>
      <c r="AO10" s="137">
        <v>1.85289935686867</v>
      </c>
      <c r="AP10" s="137">
        <v>1.7381057529816599</v>
      </c>
      <c r="AQ10" s="137">
        <v>28.849435841165899</v>
      </c>
      <c r="AR10" s="137">
        <v>24.989902804448199</v>
      </c>
      <c r="AS10" s="137">
        <v>46.995131387019903</v>
      </c>
      <c r="AT10" s="137">
        <v>0.671320799106083</v>
      </c>
      <c r="AU10" s="137">
        <v>0.669540533430381</v>
      </c>
      <c r="AV10" s="137">
        <v>0.63136183858611306</v>
      </c>
      <c r="AW10" s="137">
        <v>0.56926533152249703</v>
      </c>
      <c r="AX10" s="137">
        <v>0.55249096531522801</v>
      </c>
      <c r="AY10" s="137">
        <v>0.58791951722194402</v>
      </c>
      <c r="AZ10" s="137">
        <v>18.6586065479257</v>
      </c>
      <c r="BA10" s="137">
        <v>36.3565557202013</v>
      </c>
      <c r="BB10" s="137">
        <v>46.7874011181339</v>
      </c>
      <c r="BC10" s="137">
        <v>0.58714554725178303</v>
      </c>
      <c r="BD10" s="137">
        <v>0.65340237834564396</v>
      </c>
      <c r="BE10" s="137">
        <v>0.93431957911412</v>
      </c>
      <c r="BF10" s="137">
        <v>0.80513370835092202</v>
      </c>
      <c r="BG10" s="137">
        <v>0.82704543057569202</v>
      </c>
      <c r="BH10" s="137">
        <v>1.03235910467787</v>
      </c>
      <c r="BI10" s="137">
        <v>0.67261171894275595</v>
      </c>
      <c r="BJ10" s="137">
        <v>0.48917756527726303</v>
      </c>
      <c r="BK10" s="137">
        <v>0.40989426957501301</v>
      </c>
      <c r="BL10" s="137">
        <v>0.41029177182293902</v>
      </c>
      <c r="BM10" s="137">
        <v>0.51995035012373203</v>
      </c>
      <c r="BN10" s="137">
        <v>0.86677687428587602</v>
      </c>
      <c r="BO10" s="137">
        <v>50.671265107812097</v>
      </c>
      <c r="BP10" s="137">
        <v>51.837263175203397</v>
      </c>
      <c r="BQ10" s="137">
        <v>0.75589139274557005</v>
      </c>
      <c r="BR10" s="137">
        <v>0.804004940680772</v>
      </c>
      <c r="BS10" s="137">
        <v>0.99555930199074905</v>
      </c>
      <c r="BT10" s="137">
        <v>1.25460019124634</v>
      </c>
      <c r="BU10" s="137">
        <v>1.1671112785312401</v>
      </c>
      <c r="BV10" s="137">
        <v>0.87998391503691997</v>
      </c>
      <c r="BW10" s="137">
        <v>1.16438890014589</v>
      </c>
      <c r="BX10" s="137">
        <v>1.1644567234299801</v>
      </c>
      <c r="BY10" s="137">
        <v>14.580077338865999</v>
      </c>
      <c r="BZ10" s="137">
        <v>1.21608397051743</v>
      </c>
      <c r="CA10" s="137">
        <v>8.2952215230900492</v>
      </c>
      <c r="CB10" s="137">
        <v>10.924080188612001</v>
      </c>
      <c r="CC10" s="127">
        <v>8.6309067864976203</v>
      </c>
    </row>
    <row r="11" spans="1:110" hidden="1">
      <c r="A11" s="121" t="s">
        <v>506</v>
      </c>
      <c r="B11" s="67" t="s">
        <v>507</v>
      </c>
      <c r="C11" s="137">
        <v>1.80066333037243</v>
      </c>
      <c r="D11" s="137">
        <v>4.5691342885218598</v>
      </c>
      <c r="E11" s="137">
        <v>5.7376480847010098</v>
      </c>
      <c r="F11" s="137"/>
      <c r="G11" s="137">
        <v>5.6130369335099299</v>
      </c>
      <c r="H11" s="137">
        <v>13.4753267747816</v>
      </c>
      <c r="I11" s="137">
        <v>997.06025742596296</v>
      </c>
      <c r="J11" s="137">
        <f>(J56*L11)+(K11*J62)</f>
        <v>11.428205309238738</v>
      </c>
      <c r="K11" s="137">
        <v>12.767874723105001</v>
      </c>
      <c r="L11" s="137">
        <v>0.79567419617058499</v>
      </c>
      <c r="M11" s="137">
        <v>0.70751789391555797</v>
      </c>
      <c r="N11" s="137">
        <v>0.65856654364146205</v>
      </c>
      <c r="O11" s="137">
        <v>3.9823627239956898</v>
      </c>
      <c r="P11" s="137">
        <v>3.3266258399729001</v>
      </c>
      <c r="Q11" s="137">
        <v>2.6459649895753001</v>
      </c>
      <c r="R11" s="137">
        <v>1.92559683192405</v>
      </c>
      <c r="S11" s="137">
        <v>2.2503599670538401</v>
      </c>
      <c r="T11" s="137">
        <v>3.0797610617675701</v>
      </c>
      <c r="U11" s="137">
        <v>3.2098225525406798</v>
      </c>
      <c r="V11" s="137">
        <v>3.3329664783075499</v>
      </c>
      <c r="W11" s="137">
        <v>3.5063411227498902</v>
      </c>
      <c r="X11" s="137">
        <v>6.3961685857781498</v>
      </c>
      <c r="Y11" s="137">
        <v>913.77962561957702</v>
      </c>
      <c r="Z11" s="137">
        <v>4.9423604708882198</v>
      </c>
      <c r="AA11" s="137">
        <v>8.02383050643353</v>
      </c>
      <c r="AB11" s="137">
        <v>10.6902132580943</v>
      </c>
      <c r="AC11" s="137">
        <v>914.28395693170296</v>
      </c>
      <c r="AD11" s="137">
        <v>10.562600507022401</v>
      </c>
      <c r="AE11" s="137">
        <v>17.028356209079799</v>
      </c>
      <c r="AF11" s="137">
        <v>19.191503200758401</v>
      </c>
      <c r="AG11" s="137">
        <v>14.7252055674163</v>
      </c>
      <c r="AH11" s="137">
        <v>13.625692023487399</v>
      </c>
      <c r="AI11" s="137">
        <v>13.0610676663529</v>
      </c>
      <c r="AJ11" s="137">
        <v>15.242653045032799</v>
      </c>
      <c r="AK11" s="137">
        <v>19.4753846141585</v>
      </c>
      <c r="AL11" s="137">
        <v>26.282701395217298</v>
      </c>
      <c r="AM11" s="137">
        <v>18.980371864766301</v>
      </c>
      <c r="AN11" s="137">
        <v>18.983355832243799</v>
      </c>
      <c r="AO11" s="137">
        <v>20.2406710807652</v>
      </c>
      <c r="AP11" s="137">
        <v>18.983355832243799</v>
      </c>
      <c r="AQ11" s="137">
        <v>823.93301405566103</v>
      </c>
      <c r="AR11" s="137">
        <v>713.70567008616194</v>
      </c>
      <c r="AS11" s="137">
        <v>846.66850070033195</v>
      </c>
      <c r="AT11" s="137">
        <v>21.528750000767499</v>
      </c>
      <c r="AU11" s="137">
        <v>21.458548591176601</v>
      </c>
      <c r="AV11" s="137">
        <v>2.0234934280231199E-2</v>
      </c>
      <c r="AW11" s="137">
        <v>18.244762143318301</v>
      </c>
      <c r="AX11" s="137">
        <v>17.7071493560825</v>
      </c>
      <c r="AY11" s="137">
        <v>1.8842622512172499E-2</v>
      </c>
      <c r="AZ11" s="137">
        <v>598.00205553043304</v>
      </c>
      <c r="BA11" s="137">
        <v>744.57742238434003</v>
      </c>
      <c r="BB11" s="137">
        <v>843.757145931786</v>
      </c>
      <c r="BC11" s="137">
        <v>18.7079186061912</v>
      </c>
      <c r="BD11" s="137">
        <v>20.819026165483599</v>
      </c>
      <c r="BE11" s="137">
        <v>42.401712100828</v>
      </c>
      <c r="BF11" s="137">
        <v>8.7935614112893603</v>
      </c>
      <c r="BG11" s="137">
        <v>24.299705354303399</v>
      </c>
      <c r="BH11" s="137">
        <v>16.7096281340038</v>
      </c>
      <c r="BI11" s="137">
        <v>10.8868044570956</v>
      </c>
      <c r="BJ11" s="137">
        <v>7.9177634703461504</v>
      </c>
      <c r="BK11" s="137">
        <v>6.6344945163192302</v>
      </c>
      <c r="BL11" s="137">
        <v>6.6409284352096503</v>
      </c>
      <c r="BM11" s="137">
        <v>8.4158477020021394</v>
      </c>
      <c r="BN11" s="137">
        <v>14.0295360198237</v>
      </c>
      <c r="BO11" s="137">
        <v>914.08954827779701</v>
      </c>
      <c r="BP11" s="137">
        <v>934.56482111606101</v>
      </c>
      <c r="BQ11" s="137">
        <v>12.1645120801396</v>
      </c>
      <c r="BR11" s="137">
        <v>12.938800345217301</v>
      </c>
      <c r="BS11" s="137">
        <v>16.0214724916388</v>
      </c>
      <c r="BT11" s="137">
        <v>20.190201037649</v>
      </c>
      <c r="BU11" s="137">
        <v>16.956120401008398</v>
      </c>
      <c r="BV11" s="137">
        <v>12.782858375703</v>
      </c>
      <c r="BW11" s="137">
        <v>16.9153326854879</v>
      </c>
      <c r="BX11" s="137">
        <v>16.9153326854879</v>
      </c>
      <c r="BY11" s="137">
        <v>700.72203918528498</v>
      </c>
      <c r="BZ11" s="137">
        <v>47.308090819441396</v>
      </c>
      <c r="CA11" s="137">
        <v>432.47796721614901</v>
      </c>
      <c r="CB11" s="137">
        <v>506.61715410526801</v>
      </c>
      <c r="CC11" s="127">
        <v>466.94657573418698</v>
      </c>
    </row>
    <row r="12" spans="1:110">
      <c r="A12" s="182" t="s">
        <v>508</v>
      </c>
      <c r="B12" s="183" t="s">
        <v>509</v>
      </c>
      <c r="C12" s="184">
        <v>10816.998799999999</v>
      </c>
      <c r="D12" s="184">
        <v>10816.998799999999</v>
      </c>
      <c r="E12" s="184">
        <v>10816.998799999999</v>
      </c>
      <c r="F12" s="184">
        <v>0</v>
      </c>
      <c r="G12" s="184">
        <v>10816.998799999999</v>
      </c>
      <c r="H12" s="184">
        <v>10816.998799999999</v>
      </c>
      <c r="I12" s="184">
        <v>13188.709714081902</v>
      </c>
      <c r="J12" s="184">
        <f>SUM(K12,L12)</f>
        <v>47545.543695000102</v>
      </c>
      <c r="K12" s="184">
        <v>15848.514564999999</v>
      </c>
      <c r="L12" s="184">
        <v>31697.029130000101</v>
      </c>
      <c r="M12" s="184">
        <v>31697.029130000101</v>
      </c>
      <c r="N12" s="184">
        <v>31697.029130000101</v>
      </c>
      <c r="O12" s="184">
        <v>42372.593957000099</v>
      </c>
      <c r="P12" s="184">
        <v>42372.593957000099</v>
      </c>
      <c r="Q12" s="184">
        <v>42372.593957000099</v>
      </c>
      <c r="R12" s="184">
        <v>41888.365703813099</v>
      </c>
      <c r="S12" s="184">
        <v>41743.569049000202</v>
      </c>
      <c r="T12" s="184">
        <v>41743.569049000202</v>
      </c>
      <c r="U12" s="184">
        <v>41743.569049000202</v>
      </c>
      <c r="V12" s="184">
        <v>41743.569049000202</v>
      </c>
      <c r="W12" s="184">
        <v>41743.569049000202</v>
      </c>
      <c r="X12" s="184">
        <v>41888.365703813099</v>
      </c>
      <c r="Y12" s="184">
        <v>6571.8401980606504</v>
      </c>
      <c r="Z12" s="184">
        <v>35316.525505752397</v>
      </c>
      <c r="AA12" s="184">
        <v>35316.525505752397</v>
      </c>
      <c r="AB12" s="184">
        <v>35316.525505752397</v>
      </c>
      <c r="AC12" s="184">
        <v>131.103630088627</v>
      </c>
      <c r="AD12" s="184">
        <v>35185.421875663698</v>
      </c>
      <c r="AE12" s="184">
        <v>35185.421875663698</v>
      </c>
      <c r="AF12" s="184">
        <v>122090.04151674399</v>
      </c>
      <c r="AG12" s="184">
        <v>122090.04151682</v>
      </c>
      <c r="AH12" s="184">
        <v>122090.04151682</v>
      </c>
      <c r="AI12" s="184">
        <v>122105.783603449</v>
      </c>
      <c r="AJ12" s="184">
        <v>104018.735166646</v>
      </c>
      <c r="AK12" s="184">
        <v>104003.7315059</v>
      </c>
      <c r="AL12" s="184">
        <v>104003.73150582099</v>
      </c>
      <c r="AM12" s="184">
        <v>91189.8467579274</v>
      </c>
      <c r="AN12" s="184">
        <v>86904.619641080601</v>
      </c>
      <c r="AO12" s="184">
        <v>86904.619641080499</v>
      </c>
      <c r="AP12" s="184">
        <v>4276.8038129467996</v>
      </c>
      <c r="AQ12" s="184">
        <v>12813.8847478928</v>
      </c>
      <c r="AR12" s="184">
        <v>12813.8847478928</v>
      </c>
      <c r="AS12" s="184">
        <v>3200.00000000001</v>
      </c>
      <c r="AT12" s="184">
        <v>9613.8847478927801</v>
      </c>
      <c r="AU12" s="184">
        <v>10619.5813382898</v>
      </c>
      <c r="AV12" s="184">
        <v>10619.5813382627</v>
      </c>
      <c r="AW12" s="184">
        <v>10619.5813382898</v>
      </c>
      <c r="AX12" s="184">
        <v>10619.5813382898</v>
      </c>
      <c r="AY12" s="184">
        <v>10619.581338329501</v>
      </c>
      <c r="AZ12" s="184">
        <v>10619.5813382898</v>
      </c>
      <c r="BA12" s="184">
        <v>5685.7</v>
      </c>
      <c r="BB12" s="184">
        <v>4680</v>
      </c>
      <c r="BC12" s="184">
        <v>1005.69659039696</v>
      </c>
      <c r="BD12" s="184">
        <v>1005.69659039696</v>
      </c>
      <c r="BE12" s="184">
        <v>4933.8813382897597</v>
      </c>
      <c r="BF12" s="184">
        <v>4276.8038129467996</v>
      </c>
      <c r="BG12" s="184">
        <v>9210.6851512365702</v>
      </c>
      <c r="BH12" s="184">
        <v>82486.813891426194</v>
      </c>
      <c r="BI12" s="184">
        <v>82486.813892324295</v>
      </c>
      <c r="BJ12" s="184">
        <v>82486.813892324295</v>
      </c>
      <c r="BK12" s="184">
        <v>82486.813891426194</v>
      </c>
      <c r="BL12" s="184">
        <v>82486.813891426194</v>
      </c>
      <c r="BM12" s="184">
        <v>82486.813891588099</v>
      </c>
      <c r="BN12" s="184">
        <v>82486.813891426194</v>
      </c>
      <c r="BO12" s="184">
        <v>3937.8215825299799</v>
      </c>
      <c r="BP12" s="184">
        <v>18520.765410679302</v>
      </c>
      <c r="BQ12" s="184">
        <v>78548.992308896297</v>
      </c>
      <c r="BR12" s="184">
        <v>78548.992308896297</v>
      </c>
      <c r="BS12" s="184">
        <v>78548.992309174995</v>
      </c>
      <c r="BT12" s="184">
        <v>78548.992308896297</v>
      </c>
      <c r="BU12" s="184">
        <v>74883.769236375403</v>
      </c>
      <c r="BV12" s="184">
        <v>74822.071777637699</v>
      </c>
      <c r="BW12" s="184">
        <v>73276.128740189903</v>
      </c>
      <c r="BX12" s="184">
        <v>1640.40806176154</v>
      </c>
      <c r="BY12" s="184">
        <v>3665.2230725209201</v>
      </c>
      <c r="BZ12" s="184">
        <v>1059.1146028897799</v>
      </c>
      <c r="CA12" s="184">
        <v>2585.4</v>
      </c>
      <c r="CB12" s="184">
        <v>657.9</v>
      </c>
      <c r="CC12" s="185">
        <v>1927.5</v>
      </c>
    </row>
    <row r="13" spans="1:110">
      <c r="A13" s="121" t="s">
        <v>68</v>
      </c>
      <c r="B13" s="67" t="s">
        <v>509</v>
      </c>
      <c r="C13" s="186">
        <v>10565.6763364125</v>
      </c>
      <c r="D13" s="186">
        <v>10565.6763364125</v>
      </c>
      <c r="E13" s="186">
        <v>10565.6763364125</v>
      </c>
      <c r="F13" s="186">
        <v>0</v>
      </c>
      <c r="G13" s="186">
        <v>10565.6763364125</v>
      </c>
      <c r="H13" s="186">
        <v>10565.6763364125</v>
      </c>
      <c r="I13" s="186"/>
      <c r="J13" s="186">
        <f t="shared" ref="J13:J76" si="0">SUM(K13,L13)</f>
        <v>0</v>
      </c>
      <c r="K13" s="186">
        <v>0</v>
      </c>
      <c r="L13" s="186">
        <v>0</v>
      </c>
      <c r="M13" s="186">
        <v>0</v>
      </c>
      <c r="N13" s="186">
        <v>0</v>
      </c>
      <c r="O13" s="186">
        <v>10427.528444428001</v>
      </c>
      <c r="P13" s="186">
        <v>10427.528444428001</v>
      </c>
      <c r="Q13" s="186">
        <v>10427.528444428001</v>
      </c>
      <c r="R13" s="186">
        <v>4309.0540745428898</v>
      </c>
      <c r="S13" s="186">
        <v>4275.3975745358503</v>
      </c>
      <c r="T13" s="186">
        <v>4275.3975745358503</v>
      </c>
      <c r="U13" s="186">
        <v>4275.3975745358503</v>
      </c>
      <c r="V13" s="186">
        <v>4275.3975745358503</v>
      </c>
      <c r="W13" s="186">
        <v>4275.3975745358503</v>
      </c>
      <c r="X13" s="186">
        <v>4309.0540745428898</v>
      </c>
      <c r="Y13" s="186">
        <v>2.5196470110183302</v>
      </c>
      <c r="Z13" s="186">
        <v>4306.5344275318703</v>
      </c>
      <c r="AA13" s="186">
        <v>4306.5344275318703</v>
      </c>
      <c r="AB13" s="186">
        <v>4306.5344275318703</v>
      </c>
      <c r="AC13" s="186">
        <v>0.105716157178674</v>
      </c>
      <c r="AD13" s="186">
        <v>4306.4286359589696</v>
      </c>
      <c r="AE13" s="186">
        <v>4306.4286359589696</v>
      </c>
      <c r="AF13" s="186">
        <v>18359.188027728102</v>
      </c>
      <c r="AG13" s="186">
        <v>18359.188028</v>
      </c>
      <c r="AH13" s="186">
        <v>18359.188028</v>
      </c>
      <c r="AI13" s="186">
        <v>18354.849088206702</v>
      </c>
      <c r="AJ13" s="186">
        <v>15092.1994668018</v>
      </c>
      <c r="AK13" s="186">
        <v>15097.031514</v>
      </c>
      <c r="AL13" s="186">
        <v>15097.031513689501</v>
      </c>
      <c r="AM13" s="186">
        <v>14742.0402109278</v>
      </c>
      <c r="AN13" s="186">
        <v>14052.759391769099</v>
      </c>
      <c r="AO13" s="186">
        <v>14052.759391769099</v>
      </c>
      <c r="AP13" s="186">
        <v>691.40168589251505</v>
      </c>
      <c r="AQ13" s="186">
        <v>354.991302764539</v>
      </c>
      <c r="AR13" s="186">
        <v>354.991302764539</v>
      </c>
      <c r="AS13" s="186">
        <v>1.03782775656784E-5</v>
      </c>
      <c r="AT13" s="186">
        <v>354.99129238720798</v>
      </c>
      <c r="AU13" s="186">
        <v>355.058975788694</v>
      </c>
      <c r="AV13" s="186">
        <v>355.05897578999998</v>
      </c>
      <c r="AW13" s="186">
        <v>355.058975788694</v>
      </c>
      <c r="AX13" s="186">
        <v>355.058975788694</v>
      </c>
      <c r="AY13" s="186">
        <v>355.058975790001</v>
      </c>
      <c r="AZ13" s="186">
        <v>355.058975788694</v>
      </c>
      <c r="BA13" s="186">
        <v>6.7790525228044504E-2</v>
      </c>
      <c r="BB13" s="186">
        <v>5.2741975603097598E-5</v>
      </c>
      <c r="BC13" s="186">
        <v>6.7683401486601694E-2</v>
      </c>
      <c r="BD13" s="186">
        <v>6.7683401486601694E-2</v>
      </c>
      <c r="BE13" s="186">
        <v>354.99118526349099</v>
      </c>
      <c r="BF13" s="186">
        <v>691.40168589251505</v>
      </c>
      <c r="BG13" s="186">
        <v>1046.39287115601</v>
      </c>
      <c r="BH13" s="186">
        <v>12529.3672147629</v>
      </c>
      <c r="BI13" s="186">
        <v>12529.367215</v>
      </c>
      <c r="BJ13" s="186">
        <v>12529.367215</v>
      </c>
      <c r="BK13" s="186">
        <v>12529.3672147629</v>
      </c>
      <c r="BL13" s="186">
        <v>12529.3672147629</v>
      </c>
      <c r="BM13" s="186">
        <v>12529.367215</v>
      </c>
      <c r="BN13" s="186">
        <v>12529.3672147629</v>
      </c>
      <c r="BO13" s="186">
        <v>3.38779527706554</v>
      </c>
      <c r="BP13" s="186">
        <v>6.0132215655156998</v>
      </c>
      <c r="BQ13" s="186">
        <v>12525.9794609243</v>
      </c>
      <c r="BR13" s="186">
        <v>12525.9794609243</v>
      </c>
      <c r="BS13" s="186">
        <v>12525.979461000001</v>
      </c>
      <c r="BT13" s="186">
        <v>12525.9794609243</v>
      </c>
      <c r="BU13" s="186">
        <v>11735.041726260501</v>
      </c>
      <c r="BV13" s="186">
        <v>11719.67273</v>
      </c>
      <c r="BW13" s="186">
        <v>11482.974343607</v>
      </c>
      <c r="BX13" s="186">
        <v>257.03555812885702</v>
      </c>
      <c r="BY13" s="186">
        <v>790.93773465801496</v>
      </c>
      <c r="BZ13" s="186">
        <v>789.19016849993898</v>
      </c>
      <c r="CA13" s="186">
        <v>5.8162149979756302E-3</v>
      </c>
      <c r="CB13" s="186">
        <v>4.12164233989513E-18</v>
      </c>
      <c r="CC13" s="187">
        <v>5.8162149976684202E-3</v>
      </c>
      <c r="CM13" s="181"/>
    </row>
    <row r="14" spans="1:110">
      <c r="A14" s="121" t="s">
        <v>69</v>
      </c>
      <c r="B14" s="67" t="s">
        <v>509</v>
      </c>
      <c r="C14" s="186">
        <v>0</v>
      </c>
      <c r="D14" s="186">
        <v>0</v>
      </c>
      <c r="E14" s="186">
        <v>0</v>
      </c>
      <c r="F14" s="186">
        <v>0</v>
      </c>
      <c r="G14" s="186">
        <v>0</v>
      </c>
      <c r="H14" s="186">
        <v>0</v>
      </c>
      <c r="I14" s="186"/>
      <c r="J14" s="186">
        <f t="shared" si="0"/>
        <v>31697.029130000101</v>
      </c>
      <c r="K14" s="186">
        <v>0</v>
      </c>
      <c r="L14" s="186">
        <v>31697.029130000101</v>
      </c>
      <c r="M14" s="186">
        <v>31697.029130000101</v>
      </c>
      <c r="N14" s="186">
        <v>31697.029130000101</v>
      </c>
      <c r="O14" s="186">
        <v>31697.029130000101</v>
      </c>
      <c r="P14" s="186">
        <v>31697.029130000101</v>
      </c>
      <c r="Q14" s="186">
        <v>31697.029130000101</v>
      </c>
      <c r="R14" s="186">
        <v>24501.913528849898</v>
      </c>
      <c r="S14" s="186">
        <v>24463.242689205199</v>
      </c>
      <c r="T14" s="186">
        <v>24463.242689205199</v>
      </c>
      <c r="U14" s="186">
        <v>24463.242689205199</v>
      </c>
      <c r="V14" s="186">
        <v>24463.242689205199</v>
      </c>
      <c r="W14" s="186">
        <v>24463.242689205199</v>
      </c>
      <c r="X14" s="186">
        <v>24501.913528849898</v>
      </c>
      <c r="Y14" s="186">
        <v>0.20573843876640299</v>
      </c>
      <c r="Z14" s="186">
        <v>24501.707790411099</v>
      </c>
      <c r="AA14" s="186">
        <v>24501.707790411099</v>
      </c>
      <c r="AB14" s="186">
        <v>24501.707790411099</v>
      </c>
      <c r="AC14" s="186">
        <v>8.9164416161544892E-3</v>
      </c>
      <c r="AD14" s="186">
        <v>24501.6984420835</v>
      </c>
      <c r="AE14" s="186">
        <v>24501.6984420835</v>
      </c>
      <c r="AF14" s="186">
        <v>87659.084430210103</v>
      </c>
      <c r="AG14" s="186">
        <v>87659.084430000294</v>
      </c>
      <c r="AH14" s="186">
        <v>87659.084430000294</v>
      </c>
      <c r="AI14" s="186">
        <v>87678.736497260994</v>
      </c>
      <c r="AJ14" s="186">
        <v>66329.038439052194</v>
      </c>
      <c r="AK14" s="186">
        <v>66310.617905000094</v>
      </c>
      <c r="AL14" s="186">
        <v>66310.617905246807</v>
      </c>
      <c r="AM14" s="186">
        <v>66276.114254463406</v>
      </c>
      <c r="AN14" s="186">
        <v>63157.385988126502</v>
      </c>
      <c r="AO14" s="186">
        <v>63157.385988126502</v>
      </c>
      <c r="AP14" s="186">
        <v>3108.3497585343398</v>
      </c>
      <c r="AQ14" s="186">
        <v>34.503650799088</v>
      </c>
      <c r="AR14" s="186">
        <v>34.503650799088</v>
      </c>
      <c r="AS14" s="186">
        <v>2.7245515710011299E-65</v>
      </c>
      <c r="AT14" s="186">
        <v>34.503650799178899</v>
      </c>
      <c r="AU14" s="186">
        <v>34.503650799178899</v>
      </c>
      <c r="AV14" s="186">
        <v>34.503650799000098</v>
      </c>
      <c r="AW14" s="186">
        <v>34.503650799178899</v>
      </c>
      <c r="AX14" s="186">
        <v>34.503650799178899</v>
      </c>
      <c r="AY14" s="186">
        <v>34.503650799000098</v>
      </c>
      <c r="AZ14" s="186">
        <v>34.503650799178899</v>
      </c>
      <c r="BA14" s="186">
        <v>3.3308315678818298E-64</v>
      </c>
      <c r="BB14" s="186">
        <v>0</v>
      </c>
      <c r="BC14" s="186">
        <v>0</v>
      </c>
      <c r="BD14" s="186">
        <v>0</v>
      </c>
      <c r="BE14" s="186">
        <v>34.503650799181401</v>
      </c>
      <c r="BF14" s="186">
        <v>3108.3497585343398</v>
      </c>
      <c r="BG14" s="186">
        <v>3142.8534093335302</v>
      </c>
      <c r="BH14" s="186">
        <v>42358.540648790498</v>
      </c>
      <c r="BI14" s="186">
        <v>42358.540649000097</v>
      </c>
      <c r="BJ14" s="186">
        <v>42358.540649000097</v>
      </c>
      <c r="BK14" s="186">
        <v>42358.540648790498</v>
      </c>
      <c r="BL14" s="186">
        <v>40088.127524936899</v>
      </c>
      <c r="BM14" s="186">
        <v>40088.127525000098</v>
      </c>
      <c r="BN14" s="186">
        <v>40088.127524936899</v>
      </c>
      <c r="BO14" s="186">
        <v>0.164728544940907</v>
      </c>
      <c r="BP14" s="186">
        <v>0.37938342532346297</v>
      </c>
      <c r="BQ14" s="186">
        <v>40087.962929719397</v>
      </c>
      <c r="BR14" s="186">
        <v>40087.962929719397</v>
      </c>
      <c r="BS14" s="186">
        <v>40087.962930000002</v>
      </c>
      <c r="BT14" s="186">
        <v>40087.962929719397</v>
      </c>
      <c r="BU14" s="186">
        <v>40071.093828794103</v>
      </c>
      <c r="BV14" s="186">
        <v>40039.385975000099</v>
      </c>
      <c r="BW14" s="186">
        <v>39215.687239457096</v>
      </c>
      <c r="BX14" s="186">
        <v>877.92638799076599</v>
      </c>
      <c r="BY14" s="186">
        <v>16.8691009634247</v>
      </c>
      <c r="BZ14" s="186">
        <v>7.8046920047791392E-6</v>
      </c>
      <c r="CA14" s="186">
        <v>1.4334337360806099E-118</v>
      </c>
      <c r="CB14" s="186">
        <v>0</v>
      </c>
      <c r="CC14" s="187">
        <v>0</v>
      </c>
      <c r="CJ14" s="181"/>
      <c r="CR14" s="181"/>
    </row>
    <row r="15" spans="1:110">
      <c r="A15" s="121" t="s">
        <v>510</v>
      </c>
      <c r="B15" s="67" t="s">
        <v>509</v>
      </c>
      <c r="C15" s="186">
        <v>0</v>
      </c>
      <c r="D15" s="186">
        <v>0</v>
      </c>
      <c r="E15" s="186">
        <v>0</v>
      </c>
      <c r="F15" s="186">
        <v>0</v>
      </c>
      <c r="G15" s="186">
        <v>0</v>
      </c>
      <c r="H15" s="186">
        <v>0</v>
      </c>
      <c r="I15" s="186"/>
      <c r="J15" s="186">
        <f t="shared" si="0"/>
        <v>0</v>
      </c>
      <c r="K15" s="186">
        <v>0</v>
      </c>
      <c r="L15" s="186">
        <v>0</v>
      </c>
      <c r="M15" s="186">
        <v>0</v>
      </c>
      <c r="N15" s="186">
        <v>0</v>
      </c>
      <c r="O15" s="186">
        <v>0</v>
      </c>
      <c r="P15" s="186">
        <v>0</v>
      </c>
      <c r="Q15" s="186">
        <v>0</v>
      </c>
      <c r="R15" s="186">
        <v>5943.7911487761103</v>
      </c>
      <c r="S15" s="186">
        <v>5975.73662505011</v>
      </c>
      <c r="T15" s="186">
        <v>5975.73662505011</v>
      </c>
      <c r="U15" s="186">
        <v>5975.73662505011</v>
      </c>
      <c r="V15" s="186">
        <v>5975.73662505011</v>
      </c>
      <c r="W15" s="186">
        <v>5975.73662505011</v>
      </c>
      <c r="X15" s="186">
        <v>5943.7911487761103</v>
      </c>
      <c r="Y15" s="186">
        <v>7.0951278866155001E-2</v>
      </c>
      <c r="Z15" s="186">
        <v>5943.7201974972404</v>
      </c>
      <c r="AA15" s="186">
        <v>5943.7201974972404</v>
      </c>
      <c r="AB15" s="186">
        <v>5943.7201974972404</v>
      </c>
      <c r="AC15" s="186">
        <v>3.0268164662913002E-3</v>
      </c>
      <c r="AD15" s="186">
        <v>5943.7170659162903</v>
      </c>
      <c r="AE15" s="186">
        <v>5943.7170659162903</v>
      </c>
      <c r="AF15" s="186">
        <v>9144.56959352169</v>
      </c>
      <c r="AG15" s="186">
        <v>9144.5695935000294</v>
      </c>
      <c r="AH15" s="186">
        <v>9144.5695935000294</v>
      </c>
      <c r="AI15" s="186">
        <v>9143.7673058325399</v>
      </c>
      <c r="AJ15" s="186">
        <v>3362.8927088359301</v>
      </c>
      <c r="AK15" s="186">
        <v>3363.5711021000002</v>
      </c>
      <c r="AL15" s="186">
        <v>3363.5711020983599</v>
      </c>
      <c r="AM15" s="186">
        <v>3357.87192700367</v>
      </c>
      <c r="AN15" s="186">
        <v>3200.8525276054202</v>
      </c>
      <c r="AO15" s="186">
        <v>3200.8525276054202</v>
      </c>
      <c r="AP15" s="186">
        <v>157.48419337647201</v>
      </c>
      <c r="AQ15" s="186">
        <v>5.6991750954767504</v>
      </c>
      <c r="AR15" s="186">
        <v>5.6991750954767504</v>
      </c>
      <c r="AS15" s="186">
        <v>2.0623501180232701E-24</v>
      </c>
      <c r="AT15" s="186">
        <v>5.6991750954919498</v>
      </c>
      <c r="AU15" s="186">
        <v>5.6991750954919498</v>
      </c>
      <c r="AV15" s="186">
        <v>5.69917509550001</v>
      </c>
      <c r="AW15" s="186">
        <v>5.6991750954919498</v>
      </c>
      <c r="AX15" s="186">
        <v>5.6991750954919498</v>
      </c>
      <c r="AY15" s="186">
        <v>5.6991750955000304</v>
      </c>
      <c r="AZ15" s="186">
        <v>5.6991750954919498</v>
      </c>
      <c r="BA15" s="186">
        <v>1.33411118373785E-20</v>
      </c>
      <c r="BB15" s="186">
        <v>0</v>
      </c>
      <c r="BC15" s="186">
        <v>0</v>
      </c>
      <c r="BD15" s="186">
        <v>0</v>
      </c>
      <c r="BE15" s="186">
        <v>5.6991750954923397</v>
      </c>
      <c r="BF15" s="186">
        <v>157.48419337647201</v>
      </c>
      <c r="BG15" s="186">
        <v>163.183368471965</v>
      </c>
      <c r="BH15" s="186">
        <v>6517.1895519032396</v>
      </c>
      <c r="BI15" s="186">
        <v>6517.18955190001</v>
      </c>
      <c r="BJ15" s="186">
        <v>6517.18955190001</v>
      </c>
      <c r="BK15" s="186">
        <v>6517.1895519032396</v>
      </c>
      <c r="BL15" s="186">
        <v>6517.1895519032296</v>
      </c>
      <c r="BM15" s="186">
        <v>6517.18955190001</v>
      </c>
      <c r="BN15" s="186">
        <v>6517.1895519032296</v>
      </c>
      <c r="BO15" s="186">
        <v>3.6990450951959797E-2</v>
      </c>
      <c r="BP15" s="186">
        <v>0.110968546284406</v>
      </c>
      <c r="BQ15" s="186">
        <v>6517.15258312681</v>
      </c>
      <c r="BR15" s="186">
        <v>6517.15258312681</v>
      </c>
      <c r="BS15" s="186">
        <v>6517.1525830999999</v>
      </c>
      <c r="BT15" s="186">
        <v>6517.15258312681</v>
      </c>
      <c r="BU15" s="186">
        <v>6495.2894950601303</v>
      </c>
      <c r="BV15" s="186">
        <v>6491.9000380000198</v>
      </c>
      <c r="BW15" s="186">
        <v>6354.0061834312901</v>
      </c>
      <c r="BX15" s="186">
        <v>142.25498608837501</v>
      </c>
      <c r="BY15" s="186">
        <v>21.8630880724543</v>
      </c>
      <c r="BZ15" s="186">
        <v>21.491117909960501</v>
      </c>
      <c r="CA15" s="186">
        <v>1.9018536932706799E-25</v>
      </c>
      <c r="CB15" s="186">
        <v>0</v>
      </c>
      <c r="CC15" s="187">
        <v>0</v>
      </c>
    </row>
    <row r="16" spans="1:110">
      <c r="A16" s="121" t="s">
        <v>157</v>
      </c>
      <c r="B16" s="67" t="s">
        <v>509</v>
      </c>
      <c r="C16" s="186">
        <v>251.32246358746499</v>
      </c>
      <c r="D16" s="186">
        <v>251.32246358746499</v>
      </c>
      <c r="E16" s="186">
        <v>251.32246358746499</v>
      </c>
      <c r="F16" s="186">
        <v>0</v>
      </c>
      <c r="G16" s="186">
        <v>251.32246358746499</v>
      </c>
      <c r="H16" s="186">
        <v>251.32246358746499</v>
      </c>
      <c r="I16" s="186">
        <v>13188.709714081902</v>
      </c>
      <c r="J16" s="186">
        <f t="shared" si="0"/>
        <v>0</v>
      </c>
      <c r="K16" s="186">
        <v>0</v>
      </c>
      <c r="L16" s="186">
        <v>0</v>
      </c>
      <c r="M16" s="186">
        <v>0</v>
      </c>
      <c r="N16" s="186">
        <v>0</v>
      </c>
      <c r="O16" s="186">
        <v>248.03638257204</v>
      </c>
      <c r="P16" s="186">
        <v>248.03638257204</v>
      </c>
      <c r="Q16" s="186">
        <v>248.03638257204</v>
      </c>
      <c r="R16" s="186">
        <v>6820.7758385507104</v>
      </c>
      <c r="S16" s="186">
        <v>6714.6797062563301</v>
      </c>
      <c r="T16" s="186">
        <v>6714.6797062563301</v>
      </c>
      <c r="U16" s="186">
        <v>6714.6797062563301</v>
      </c>
      <c r="V16" s="186">
        <v>6714.6797062563301</v>
      </c>
      <c r="W16" s="186">
        <v>6714.6797062563301</v>
      </c>
      <c r="X16" s="186">
        <v>6820.7758385507104</v>
      </c>
      <c r="Y16" s="186">
        <v>6569.0293982899502</v>
      </c>
      <c r="Z16" s="186">
        <v>251.74644026076299</v>
      </c>
      <c r="AA16" s="186">
        <v>251.74644026076299</v>
      </c>
      <c r="AB16" s="186">
        <v>251.74644026076299</v>
      </c>
      <c r="AC16" s="186">
        <v>130.98535860298799</v>
      </c>
      <c r="AD16" s="186">
        <v>120.76169923550501</v>
      </c>
      <c r="AE16" s="186">
        <v>120.76169923550501</v>
      </c>
      <c r="AF16" s="186">
        <v>227.73803804430401</v>
      </c>
      <c r="AG16" s="186">
        <v>227.73803804000099</v>
      </c>
      <c r="AH16" s="186">
        <v>227.73803804000099</v>
      </c>
      <c r="AI16" s="186">
        <v>227.76453904322099</v>
      </c>
      <c r="AJ16" s="186">
        <v>3490.41416044878</v>
      </c>
      <c r="AK16" s="186">
        <v>3489.8945521000001</v>
      </c>
      <c r="AL16" s="186">
        <v>3489.8945520833299</v>
      </c>
      <c r="AM16" s="186">
        <v>112.25725961425201</v>
      </c>
      <c r="AN16" s="186">
        <v>106.976338808799</v>
      </c>
      <c r="AO16" s="186">
        <v>106.976338808799</v>
      </c>
      <c r="AP16" s="186">
        <v>5.2648654759084303</v>
      </c>
      <c r="AQ16" s="186">
        <v>3377.6372924633201</v>
      </c>
      <c r="AR16" s="186">
        <v>3377.6372924633201</v>
      </c>
      <c r="AS16" s="186">
        <v>3199.8152981215098</v>
      </c>
      <c r="AT16" s="186">
        <v>177.82199431661499</v>
      </c>
      <c r="AU16" s="186">
        <v>197.15711610852401</v>
      </c>
      <c r="AV16" s="186">
        <v>197.15711611</v>
      </c>
      <c r="AW16" s="186">
        <v>197.15711610852401</v>
      </c>
      <c r="AX16" s="186">
        <v>4694.2744590968896</v>
      </c>
      <c r="AY16" s="186">
        <v>4694.2744591000101</v>
      </c>
      <c r="AZ16" s="186">
        <v>4694.2744590968896</v>
      </c>
      <c r="BA16" s="186">
        <v>4694.2744590924403</v>
      </c>
      <c r="BB16" s="186">
        <v>4674.9303051384804</v>
      </c>
      <c r="BC16" s="186">
        <v>19.3351217919076</v>
      </c>
      <c r="BD16" s="186">
        <v>19.3351217919076</v>
      </c>
      <c r="BE16" s="186">
        <v>4.1702046451595502E-9</v>
      </c>
      <c r="BF16" s="186">
        <v>5.2648654759084303</v>
      </c>
      <c r="BG16" s="186">
        <v>5.2648654800786598</v>
      </c>
      <c r="BH16" s="186">
        <v>5.2718383406860996</v>
      </c>
      <c r="BI16" s="186">
        <v>5.2718383407000102</v>
      </c>
      <c r="BJ16" s="186">
        <v>5.2718383407000102</v>
      </c>
      <c r="BK16" s="186">
        <v>5.2718383406860996</v>
      </c>
      <c r="BL16" s="186">
        <v>4266.1340953215604</v>
      </c>
      <c r="BM16" s="186">
        <v>4266.1340953000099</v>
      </c>
      <c r="BN16" s="186">
        <v>4266.1340953215604</v>
      </c>
      <c r="BO16" s="186">
        <v>3933.5590557652499</v>
      </c>
      <c r="BP16" s="186">
        <v>18508.319415918199</v>
      </c>
      <c r="BQ16" s="186">
        <v>332.57477968021402</v>
      </c>
      <c r="BR16" s="186">
        <v>332.57477968021402</v>
      </c>
      <c r="BS16" s="186">
        <v>332.57477968000001</v>
      </c>
      <c r="BT16" s="186">
        <v>332.57477968021402</v>
      </c>
      <c r="BU16" s="186">
        <v>7.1074465871935602E-3</v>
      </c>
      <c r="BV16" s="186">
        <v>7.1014909300000199E-3</v>
      </c>
      <c r="BW16" s="186">
        <v>6.9728606074508899E-3</v>
      </c>
      <c r="BX16" s="186">
        <v>1.5599549967311601E-4</v>
      </c>
      <c r="BY16" s="186">
        <v>332.56767223362499</v>
      </c>
      <c r="BZ16" s="186">
        <v>4.2190722519768696E-53</v>
      </c>
      <c r="CA16" s="186">
        <v>332.56765659804103</v>
      </c>
      <c r="CB16" s="186">
        <v>326.99945006625802</v>
      </c>
      <c r="CC16" s="187">
        <v>5.5682065820956099</v>
      </c>
      <c r="CD16" s="181"/>
      <c r="CJ16" s="181"/>
      <c r="CN16" s="181"/>
      <c r="DA16" s="181"/>
    </row>
    <row r="17" spans="1:107">
      <c r="A17" s="121" t="s">
        <v>159</v>
      </c>
      <c r="B17" s="67" t="s">
        <v>509</v>
      </c>
      <c r="C17" s="186">
        <v>0</v>
      </c>
      <c r="D17" s="186">
        <v>0</v>
      </c>
      <c r="E17" s="186">
        <v>0</v>
      </c>
      <c r="F17" s="186">
        <v>0</v>
      </c>
      <c r="G17" s="186">
        <v>0</v>
      </c>
      <c r="H17" s="186">
        <v>0</v>
      </c>
      <c r="I17" s="186"/>
      <c r="J17" s="186">
        <f t="shared" si="0"/>
        <v>0</v>
      </c>
      <c r="K17" s="186">
        <v>0</v>
      </c>
      <c r="L17" s="186">
        <v>0</v>
      </c>
      <c r="M17" s="186">
        <v>0</v>
      </c>
      <c r="N17" s="186">
        <v>0</v>
      </c>
      <c r="O17" s="186">
        <v>0</v>
      </c>
      <c r="P17" s="186">
        <v>0</v>
      </c>
      <c r="Q17" s="186">
        <v>0</v>
      </c>
      <c r="R17" s="186">
        <v>0</v>
      </c>
      <c r="S17" s="186">
        <v>0</v>
      </c>
      <c r="T17" s="186">
        <v>0</v>
      </c>
      <c r="U17" s="186">
        <v>0</v>
      </c>
      <c r="V17" s="186">
        <v>0</v>
      </c>
      <c r="W17" s="186">
        <v>0</v>
      </c>
      <c r="X17" s="186">
        <v>0</v>
      </c>
      <c r="Y17" s="186">
        <v>0</v>
      </c>
      <c r="Z17" s="186">
        <v>0</v>
      </c>
      <c r="AA17" s="186">
        <v>0</v>
      </c>
      <c r="AB17" s="186">
        <v>0</v>
      </c>
      <c r="AC17" s="186">
        <v>0</v>
      </c>
      <c r="AD17" s="186">
        <v>0</v>
      </c>
      <c r="AE17" s="186">
        <v>0</v>
      </c>
      <c r="AF17" s="186">
        <v>594.18509207526802</v>
      </c>
      <c r="AG17" s="186">
        <v>594.18509208000103</v>
      </c>
      <c r="AH17" s="186">
        <v>594.18509208000103</v>
      </c>
      <c r="AI17" s="186">
        <v>594.25717696128697</v>
      </c>
      <c r="AJ17" s="186">
        <v>9637.7813953628993</v>
      </c>
      <c r="AK17" s="186">
        <v>9637.3400975000095</v>
      </c>
      <c r="AL17" s="186">
        <v>9637.3400975375207</v>
      </c>
      <c r="AM17" s="186">
        <v>623.45973034669601</v>
      </c>
      <c r="AN17" s="186">
        <v>594.18509207526699</v>
      </c>
      <c r="AO17" s="186">
        <v>594.18509207526699</v>
      </c>
      <c r="AP17" s="186">
        <v>29.240261353260099</v>
      </c>
      <c r="AQ17" s="186">
        <v>9013.8803671755195</v>
      </c>
      <c r="AR17" s="186">
        <v>9013.8803671755195</v>
      </c>
      <c r="AS17" s="186">
        <v>0.18469150022195499</v>
      </c>
      <c r="AT17" s="186">
        <v>9013.6956756993404</v>
      </c>
      <c r="AU17" s="186">
        <v>9993.5940955296901</v>
      </c>
      <c r="AV17" s="186">
        <v>9993.5940955000206</v>
      </c>
      <c r="AW17" s="186">
        <v>9993.5940955296901</v>
      </c>
      <c r="AX17" s="186">
        <v>999.35940955296905</v>
      </c>
      <c r="AY17" s="186">
        <v>999.35940955000297</v>
      </c>
      <c r="AZ17" s="186">
        <v>999.35940955296905</v>
      </c>
      <c r="BA17" s="186">
        <v>983.83766044237802</v>
      </c>
      <c r="BB17" s="186">
        <v>3.9423636559303201</v>
      </c>
      <c r="BC17" s="186">
        <v>979.89841983034796</v>
      </c>
      <c r="BD17" s="186">
        <v>979.89841983034796</v>
      </c>
      <c r="BE17" s="186">
        <v>15.521749110532999</v>
      </c>
      <c r="BF17" s="186">
        <v>29.240261353260099</v>
      </c>
      <c r="BG17" s="186">
        <v>44.762010463793096</v>
      </c>
      <c r="BH17" s="186">
        <v>44.762010463792997</v>
      </c>
      <c r="BI17" s="186">
        <v>44.762010464000198</v>
      </c>
      <c r="BJ17" s="186">
        <v>44.762010464000198</v>
      </c>
      <c r="BK17" s="186">
        <v>44.762010463792997</v>
      </c>
      <c r="BL17" s="186">
        <v>0</v>
      </c>
      <c r="BM17" s="186">
        <v>0</v>
      </c>
      <c r="BN17" s="186">
        <v>0</v>
      </c>
      <c r="BO17" s="186">
        <v>0</v>
      </c>
      <c r="BP17" s="186">
        <v>4.1270551561522799</v>
      </c>
      <c r="BQ17" s="186">
        <v>0</v>
      </c>
      <c r="BR17" s="186">
        <v>0</v>
      </c>
      <c r="BS17" s="186">
        <v>0</v>
      </c>
      <c r="BT17" s="186">
        <v>0</v>
      </c>
      <c r="BU17" s="186">
        <v>0</v>
      </c>
      <c r="BV17" s="186">
        <v>0</v>
      </c>
      <c r="BW17" s="186">
        <v>0</v>
      </c>
      <c r="BX17" s="186">
        <v>0</v>
      </c>
      <c r="BY17" s="186">
        <v>0</v>
      </c>
      <c r="BZ17" s="186">
        <v>0</v>
      </c>
      <c r="CA17" s="186">
        <v>0</v>
      </c>
      <c r="CB17" s="186">
        <v>0</v>
      </c>
      <c r="CC17" s="187">
        <v>0</v>
      </c>
    </row>
    <row r="18" spans="1:107">
      <c r="A18" s="121" t="s">
        <v>160</v>
      </c>
      <c r="B18" s="67" t="s">
        <v>509</v>
      </c>
      <c r="C18" s="186">
        <v>0</v>
      </c>
      <c r="D18" s="186">
        <v>0</v>
      </c>
      <c r="E18" s="186">
        <v>0</v>
      </c>
      <c r="F18" s="186">
        <v>0</v>
      </c>
      <c r="G18" s="186">
        <v>0</v>
      </c>
      <c r="H18" s="186">
        <v>0</v>
      </c>
      <c r="I18" s="186"/>
      <c r="J18" s="186">
        <f t="shared" si="0"/>
        <v>0</v>
      </c>
      <c r="K18" s="186">
        <v>0</v>
      </c>
      <c r="L18" s="186">
        <v>0</v>
      </c>
      <c r="M18" s="186">
        <v>0</v>
      </c>
      <c r="N18" s="186">
        <v>0</v>
      </c>
      <c r="O18" s="186">
        <v>0</v>
      </c>
      <c r="P18" s="186">
        <v>0</v>
      </c>
      <c r="Q18" s="186">
        <v>0</v>
      </c>
      <c r="R18" s="186">
        <v>0</v>
      </c>
      <c r="S18" s="186">
        <v>0</v>
      </c>
      <c r="T18" s="186">
        <v>0</v>
      </c>
      <c r="U18" s="186">
        <v>0</v>
      </c>
      <c r="V18" s="186">
        <v>0</v>
      </c>
      <c r="W18" s="186">
        <v>0</v>
      </c>
      <c r="X18" s="186">
        <v>0</v>
      </c>
      <c r="Y18" s="186">
        <v>0</v>
      </c>
      <c r="Z18" s="186">
        <v>0</v>
      </c>
      <c r="AA18" s="186">
        <v>0</v>
      </c>
      <c r="AB18" s="186">
        <v>0</v>
      </c>
      <c r="AC18" s="186">
        <v>0</v>
      </c>
      <c r="AD18" s="186">
        <v>0</v>
      </c>
      <c r="AE18" s="186">
        <v>0</v>
      </c>
      <c r="AF18" s="186">
        <v>0</v>
      </c>
      <c r="AG18" s="186">
        <v>0</v>
      </c>
      <c r="AH18" s="186">
        <v>0</v>
      </c>
      <c r="AI18" s="186">
        <v>0</v>
      </c>
      <c r="AJ18" s="186">
        <v>0</v>
      </c>
      <c r="AK18" s="186">
        <v>0</v>
      </c>
      <c r="AL18" s="186">
        <v>0</v>
      </c>
      <c r="AM18" s="186">
        <v>0</v>
      </c>
      <c r="AN18" s="186">
        <v>0</v>
      </c>
      <c r="AO18" s="186">
        <v>0</v>
      </c>
      <c r="AP18" s="186">
        <v>0</v>
      </c>
      <c r="AQ18" s="186">
        <v>0</v>
      </c>
      <c r="AR18" s="186">
        <v>0</v>
      </c>
      <c r="AS18" s="186">
        <v>0</v>
      </c>
      <c r="AT18" s="186">
        <v>0</v>
      </c>
      <c r="AU18" s="186">
        <v>6.3953653732107902</v>
      </c>
      <c r="AV18" s="186">
        <v>6.3953653732000104</v>
      </c>
      <c r="AW18" s="186">
        <v>6.3953653732107902</v>
      </c>
      <c r="AX18" s="186">
        <v>4503.5127083615698</v>
      </c>
      <c r="AY18" s="186">
        <v>4503.5127084000096</v>
      </c>
      <c r="AZ18" s="186">
        <v>4503.5127083615698</v>
      </c>
      <c r="BA18" s="186">
        <v>7.5200899399467298</v>
      </c>
      <c r="BB18" s="186">
        <v>1.1272784636092701</v>
      </c>
      <c r="BC18" s="186">
        <v>6.3953653732108</v>
      </c>
      <c r="BD18" s="186">
        <v>6.3953653732108</v>
      </c>
      <c r="BE18" s="186">
        <v>4495.9926184219403</v>
      </c>
      <c r="BF18" s="186">
        <v>0</v>
      </c>
      <c r="BG18" s="186">
        <v>4495.9926184219303</v>
      </c>
      <c r="BH18" s="186">
        <v>4687.04260782252</v>
      </c>
      <c r="BI18" s="186">
        <v>4687.04260780001</v>
      </c>
      <c r="BJ18" s="186">
        <v>4687.04260780001</v>
      </c>
      <c r="BK18" s="186">
        <v>4687.04260782252</v>
      </c>
      <c r="BL18" s="186">
        <v>470.94236130544198</v>
      </c>
      <c r="BM18" s="186">
        <v>470.94236131000099</v>
      </c>
      <c r="BN18" s="186">
        <v>470.94236130544198</v>
      </c>
      <c r="BO18" s="186">
        <v>0.112150135153846</v>
      </c>
      <c r="BP18" s="186">
        <v>1.2394285987631199</v>
      </c>
      <c r="BQ18" s="186">
        <v>470.83021272889602</v>
      </c>
      <c r="BR18" s="186">
        <v>470.83021272889602</v>
      </c>
      <c r="BS18" s="186">
        <v>470.83021273000003</v>
      </c>
      <c r="BT18" s="186">
        <v>470.83021272889602</v>
      </c>
      <c r="BU18" s="186">
        <v>195.16891617964299</v>
      </c>
      <c r="BV18" s="186">
        <v>195.11821030000101</v>
      </c>
      <c r="BW18" s="186">
        <v>191.04998940060099</v>
      </c>
      <c r="BX18" s="186">
        <v>4.2749395840680302</v>
      </c>
      <c r="BY18" s="186">
        <v>275.66129654349402</v>
      </c>
      <c r="BZ18" s="186">
        <v>9.7331849959339395E-5</v>
      </c>
      <c r="CA18" s="186">
        <v>275.62739465759199</v>
      </c>
      <c r="CB18" s="186">
        <v>5.4462411533826698E-5</v>
      </c>
      <c r="CC18" s="187">
        <v>275.627340180624</v>
      </c>
      <c r="CJ18" s="181"/>
      <c r="CM18" s="181"/>
      <c r="CX18" s="181"/>
      <c r="CY18" s="181"/>
    </row>
    <row r="19" spans="1:107">
      <c r="A19" s="121" t="s">
        <v>161</v>
      </c>
      <c r="B19" s="67" t="s">
        <v>509</v>
      </c>
      <c r="C19" s="186">
        <v>0</v>
      </c>
      <c r="D19" s="186">
        <v>0</v>
      </c>
      <c r="E19" s="186">
        <v>0</v>
      </c>
      <c r="F19" s="186">
        <v>0</v>
      </c>
      <c r="G19" s="186">
        <v>0</v>
      </c>
      <c r="H19" s="186">
        <v>0</v>
      </c>
      <c r="I19" s="186"/>
      <c r="J19" s="186">
        <f t="shared" si="0"/>
        <v>0</v>
      </c>
      <c r="K19" s="186">
        <v>0</v>
      </c>
      <c r="L19" s="186">
        <v>0</v>
      </c>
      <c r="M19" s="186">
        <v>0</v>
      </c>
      <c r="N19" s="186">
        <v>0</v>
      </c>
      <c r="O19" s="186">
        <v>0</v>
      </c>
      <c r="P19" s="186">
        <v>0</v>
      </c>
      <c r="Q19" s="186">
        <v>0</v>
      </c>
      <c r="R19" s="186">
        <v>0</v>
      </c>
      <c r="S19" s="186">
        <v>0</v>
      </c>
      <c r="T19" s="186">
        <v>0</v>
      </c>
      <c r="U19" s="186">
        <v>0</v>
      </c>
      <c r="V19" s="186">
        <v>0</v>
      </c>
      <c r="W19" s="186">
        <v>0</v>
      </c>
      <c r="X19" s="186">
        <v>0</v>
      </c>
      <c r="Y19" s="186">
        <v>0</v>
      </c>
      <c r="Z19" s="186">
        <v>0</v>
      </c>
      <c r="AA19" s="186">
        <v>0</v>
      </c>
      <c r="AB19" s="186">
        <v>0</v>
      </c>
      <c r="AC19" s="186">
        <v>0</v>
      </c>
      <c r="AD19" s="186">
        <v>0</v>
      </c>
      <c r="AE19" s="186">
        <v>0</v>
      </c>
      <c r="AF19" s="186">
        <v>0</v>
      </c>
      <c r="AG19" s="186">
        <v>0</v>
      </c>
      <c r="AH19" s="186">
        <v>0</v>
      </c>
      <c r="AI19" s="186">
        <v>0</v>
      </c>
      <c r="AJ19" s="186">
        <v>0</v>
      </c>
      <c r="AK19" s="186">
        <v>0</v>
      </c>
      <c r="AL19" s="186">
        <v>0</v>
      </c>
      <c r="AM19" s="186">
        <v>0</v>
      </c>
      <c r="AN19" s="186">
        <v>0</v>
      </c>
      <c r="AO19" s="186">
        <v>0</v>
      </c>
      <c r="AP19" s="186">
        <v>0</v>
      </c>
      <c r="AQ19" s="186">
        <v>0</v>
      </c>
      <c r="AR19" s="186">
        <v>0</v>
      </c>
      <c r="AS19" s="186">
        <v>0</v>
      </c>
      <c r="AT19" s="186">
        <v>0</v>
      </c>
      <c r="AU19" s="186">
        <v>0</v>
      </c>
      <c r="AV19" s="186">
        <v>0</v>
      </c>
      <c r="AW19" s="186">
        <v>0</v>
      </c>
      <c r="AX19" s="186">
        <v>0</v>
      </c>
      <c r="AY19" s="186">
        <v>0</v>
      </c>
      <c r="AZ19" s="186">
        <v>0</v>
      </c>
      <c r="BA19" s="186">
        <v>0</v>
      </c>
      <c r="BB19" s="186">
        <v>0</v>
      </c>
      <c r="BC19" s="186">
        <v>0</v>
      </c>
      <c r="BD19" s="186">
        <v>0</v>
      </c>
      <c r="BE19" s="186">
        <v>0</v>
      </c>
      <c r="BF19" s="186">
        <v>0</v>
      </c>
      <c r="BG19" s="186">
        <v>0</v>
      </c>
      <c r="BH19" s="186">
        <v>285.38908305269098</v>
      </c>
      <c r="BI19" s="186">
        <v>285.38908305000098</v>
      </c>
      <c r="BJ19" s="186">
        <v>285.38908305000098</v>
      </c>
      <c r="BK19" s="186">
        <v>285.38908305269098</v>
      </c>
      <c r="BL19" s="186">
        <v>1641.7030836123699</v>
      </c>
      <c r="BM19" s="186">
        <v>1641.7030835999999</v>
      </c>
      <c r="BN19" s="186">
        <v>1641.7030836123699</v>
      </c>
      <c r="BO19" s="186">
        <v>0.11012266220764</v>
      </c>
      <c r="BP19" s="186">
        <v>0.11012266220764</v>
      </c>
      <c r="BQ19" s="186">
        <v>1641.59296640302</v>
      </c>
      <c r="BR19" s="186">
        <v>1641.59296640302</v>
      </c>
      <c r="BS19" s="186">
        <v>1641.5929664</v>
      </c>
      <c r="BT19" s="186">
        <v>1641.59296640302</v>
      </c>
      <c r="BU19" s="186">
        <v>291.43671266374901</v>
      </c>
      <c r="BV19" s="186">
        <v>291.227422200001</v>
      </c>
      <c r="BW19" s="186">
        <v>285.389083052692</v>
      </c>
      <c r="BX19" s="186">
        <v>6.3837347964392404</v>
      </c>
      <c r="BY19" s="186">
        <v>1350.1562537104301</v>
      </c>
      <c r="BZ19" s="186">
        <v>5.1978064625473302E-10</v>
      </c>
      <c r="CA19" s="186">
        <v>1350.09822681025</v>
      </c>
      <c r="CB19" s="186">
        <v>3.3694054848957902</v>
      </c>
      <c r="CC19" s="187">
        <v>1346.7288212547401</v>
      </c>
      <c r="CJ19" s="181"/>
    </row>
    <row r="20" spans="1:107">
      <c r="A20" s="121" t="s">
        <v>162</v>
      </c>
      <c r="B20" s="67" t="s">
        <v>509</v>
      </c>
      <c r="C20" s="186">
        <v>0</v>
      </c>
      <c r="D20" s="186">
        <v>0</v>
      </c>
      <c r="E20" s="186">
        <v>0</v>
      </c>
      <c r="F20" s="186">
        <v>0</v>
      </c>
      <c r="G20" s="186">
        <v>0</v>
      </c>
      <c r="H20" s="186">
        <v>0</v>
      </c>
      <c r="I20" s="186"/>
      <c r="J20" s="186">
        <f>SUM(K20,L20)</f>
        <v>15848.514564999999</v>
      </c>
      <c r="K20" s="186">
        <v>15848.514564999999</v>
      </c>
      <c r="L20" s="186">
        <v>0</v>
      </c>
      <c r="M20" s="186">
        <v>0</v>
      </c>
      <c r="N20" s="186">
        <v>0</v>
      </c>
      <c r="O20" s="186">
        <v>0</v>
      </c>
      <c r="P20" s="186">
        <v>0</v>
      </c>
      <c r="Q20" s="186">
        <v>0</v>
      </c>
      <c r="R20" s="186">
        <v>0</v>
      </c>
      <c r="S20" s="186">
        <v>0</v>
      </c>
      <c r="T20" s="186">
        <v>0</v>
      </c>
      <c r="U20" s="186">
        <v>0</v>
      </c>
      <c r="V20" s="186">
        <v>0</v>
      </c>
      <c r="W20" s="186">
        <v>0</v>
      </c>
      <c r="X20" s="186">
        <v>0</v>
      </c>
      <c r="Y20" s="186">
        <v>0</v>
      </c>
      <c r="Z20" s="186">
        <v>0</v>
      </c>
      <c r="AA20" s="186">
        <v>0</v>
      </c>
      <c r="AB20" s="186">
        <v>0</v>
      </c>
      <c r="AC20" s="186">
        <v>0</v>
      </c>
      <c r="AD20" s="186">
        <v>0</v>
      </c>
      <c r="AE20" s="186">
        <v>0</v>
      </c>
      <c r="AF20" s="186">
        <v>0</v>
      </c>
      <c r="AG20" s="186">
        <v>0</v>
      </c>
      <c r="AH20" s="186">
        <v>0</v>
      </c>
      <c r="AI20" s="186">
        <v>0</v>
      </c>
      <c r="AJ20" s="186">
        <v>0</v>
      </c>
      <c r="AK20" s="186">
        <v>0</v>
      </c>
      <c r="AL20" s="186">
        <v>0</v>
      </c>
      <c r="AM20" s="186">
        <v>0</v>
      </c>
      <c r="AN20" s="186">
        <v>0</v>
      </c>
      <c r="AO20" s="186">
        <v>0</v>
      </c>
      <c r="AP20" s="186">
        <v>0</v>
      </c>
      <c r="AQ20" s="186">
        <v>0</v>
      </c>
      <c r="AR20" s="186">
        <v>0</v>
      </c>
      <c r="AS20" s="186">
        <v>0</v>
      </c>
      <c r="AT20" s="186">
        <v>0</v>
      </c>
      <c r="AU20" s="186">
        <v>0</v>
      </c>
      <c r="AV20" s="186">
        <v>0</v>
      </c>
      <c r="AW20" s="186">
        <v>0</v>
      </c>
      <c r="AX20" s="186">
        <v>0</v>
      </c>
      <c r="AY20" s="186">
        <v>0</v>
      </c>
      <c r="AZ20" s="186">
        <v>0</v>
      </c>
      <c r="BA20" s="186">
        <v>0</v>
      </c>
      <c r="BB20" s="186">
        <v>0</v>
      </c>
      <c r="BC20" s="186">
        <v>0</v>
      </c>
      <c r="BD20" s="186">
        <v>0</v>
      </c>
      <c r="BE20" s="186">
        <v>0</v>
      </c>
      <c r="BF20" s="186">
        <v>0</v>
      </c>
      <c r="BG20" s="186">
        <v>0</v>
      </c>
      <c r="BH20" s="186">
        <v>0</v>
      </c>
      <c r="BI20" s="186">
        <v>0</v>
      </c>
      <c r="BJ20" s="186">
        <v>0</v>
      </c>
      <c r="BK20" s="186">
        <v>0</v>
      </c>
      <c r="BL20" s="186">
        <v>0</v>
      </c>
      <c r="BM20" s="186">
        <v>0</v>
      </c>
      <c r="BN20" s="186">
        <v>0</v>
      </c>
      <c r="BO20" s="186">
        <v>0</v>
      </c>
      <c r="BP20" s="186">
        <v>0</v>
      </c>
      <c r="BQ20" s="186">
        <v>0</v>
      </c>
      <c r="BR20" s="186">
        <v>0</v>
      </c>
      <c r="BS20" s="186">
        <v>0</v>
      </c>
      <c r="BT20" s="186">
        <v>0</v>
      </c>
      <c r="BU20" s="186">
        <v>0</v>
      </c>
      <c r="BV20" s="186">
        <v>0</v>
      </c>
      <c r="BW20" s="186">
        <v>0</v>
      </c>
      <c r="BX20" s="186">
        <v>0</v>
      </c>
      <c r="BY20" s="186">
        <v>0</v>
      </c>
      <c r="BZ20" s="186">
        <v>0</v>
      </c>
      <c r="CA20" s="186">
        <v>0</v>
      </c>
      <c r="CB20" s="186">
        <v>0</v>
      </c>
      <c r="CC20" s="187">
        <v>0</v>
      </c>
    </row>
    <row r="21" spans="1:107">
      <c r="A21" s="121" t="s">
        <v>163</v>
      </c>
      <c r="B21" s="67" t="s">
        <v>509</v>
      </c>
      <c r="C21" s="186">
        <v>0</v>
      </c>
      <c r="D21" s="186">
        <v>0</v>
      </c>
      <c r="E21" s="186">
        <v>0</v>
      </c>
      <c r="F21" s="186">
        <v>0</v>
      </c>
      <c r="G21" s="186">
        <v>0</v>
      </c>
      <c r="H21" s="186">
        <v>0</v>
      </c>
      <c r="I21" s="186"/>
      <c r="J21" s="186">
        <f t="shared" si="0"/>
        <v>0</v>
      </c>
      <c r="K21" s="186">
        <v>0</v>
      </c>
      <c r="L21" s="186">
        <v>0</v>
      </c>
      <c r="M21" s="186">
        <v>0</v>
      </c>
      <c r="N21" s="186">
        <v>0</v>
      </c>
      <c r="O21" s="186">
        <v>0</v>
      </c>
      <c r="P21" s="186">
        <v>0</v>
      </c>
      <c r="Q21" s="186">
        <v>0</v>
      </c>
      <c r="R21" s="186">
        <v>312.83111309347902</v>
      </c>
      <c r="S21" s="186">
        <v>314.512453952638</v>
      </c>
      <c r="T21" s="186">
        <v>314.512453952638</v>
      </c>
      <c r="U21" s="186">
        <v>314.512453952638</v>
      </c>
      <c r="V21" s="186">
        <v>314.512453952638</v>
      </c>
      <c r="W21" s="186">
        <v>314.512453952638</v>
      </c>
      <c r="X21" s="186">
        <v>312.83111309347902</v>
      </c>
      <c r="Y21" s="186">
        <v>1.44630420475233E-2</v>
      </c>
      <c r="Z21" s="186">
        <v>312.816650051431</v>
      </c>
      <c r="AA21" s="186">
        <v>312.816650051431</v>
      </c>
      <c r="AB21" s="186">
        <v>312.816650051431</v>
      </c>
      <c r="AC21" s="186">
        <v>6.1207037775525301E-4</v>
      </c>
      <c r="AD21" s="186">
        <v>312.81603246947202</v>
      </c>
      <c r="AE21" s="186">
        <v>312.81603246947202</v>
      </c>
      <c r="AF21" s="186">
        <v>6105.2763351649801</v>
      </c>
      <c r="AG21" s="186">
        <v>6105.2763352000202</v>
      </c>
      <c r="AH21" s="186">
        <v>6105.2763352000202</v>
      </c>
      <c r="AI21" s="186">
        <v>6106.4089961446698</v>
      </c>
      <c r="AJ21" s="186">
        <v>6106.4089961446598</v>
      </c>
      <c r="AK21" s="186">
        <v>6105.2763352000102</v>
      </c>
      <c r="AL21" s="186">
        <v>6105.2763351649901</v>
      </c>
      <c r="AM21" s="186">
        <v>6078.1033755715098</v>
      </c>
      <c r="AN21" s="186">
        <v>5792.4603026955001</v>
      </c>
      <c r="AO21" s="186">
        <v>5792.4603026955001</v>
      </c>
      <c r="AP21" s="186">
        <v>285.06304831430401</v>
      </c>
      <c r="AQ21" s="186">
        <v>27.1729595948803</v>
      </c>
      <c r="AR21" s="186">
        <v>27.1729595948803</v>
      </c>
      <c r="AS21" s="186">
        <v>5.0039763830488705E-16</v>
      </c>
      <c r="AT21" s="186">
        <v>27.172959594952701</v>
      </c>
      <c r="AU21" s="186">
        <v>27.172959594960599</v>
      </c>
      <c r="AV21" s="186">
        <v>27.172959594999998</v>
      </c>
      <c r="AW21" s="186">
        <v>27.172959594960599</v>
      </c>
      <c r="AX21" s="186">
        <v>27.172959594960599</v>
      </c>
      <c r="AY21" s="186">
        <v>27.172959595000101</v>
      </c>
      <c r="AZ21" s="186">
        <v>27.172959594960599</v>
      </c>
      <c r="BA21" s="186">
        <v>7.7793349541881901E-12</v>
      </c>
      <c r="BB21" s="186">
        <v>4.7293186162173097E-22</v>
      </c>
      <c r="BC21" s="186">
        <v>7.7797945446448494E-12</v>
      </c>
      <c r="BD21" s="186">
        <v>7.7797945446448494E-12</v>
      </c>
      <c r="BE21" s="186">
        <v>27.172959594954701</v>
      </c>
      <c r="BF21" s="186">
        <v>285.06304831430401</v>
      </c>
      <c r="BG21" s="186">
        <v>312.236007909259</v>
      </c>
      <c r="BH21" s="186">
        <v>14783.015717521999</v>
      </c>
      <c r="BI21" s="186">
        <v>14783.015718000001</v>
      </c>
      <c r="BJ21" s="186">
        <v>14783.015718000001</v>
      </c>
      <c r="BK21" s="186">
        <v>14783.015717521999</v>
      </c>
      <c r="BL21" s="186">
        <v>14910.1701550744</v>
      </c>
      <c r="BM21" s="186">
        <v>14910.170155</v>
      </c>
      <c r="BN21" s="186">
        <v>14910.1701550744</v>
      </c>
      <c r="BO21" s="186">
        <v>0.32342460889379598</v>
      </c>
      <c r="BP21" s="186">
        <v>0.33849972131907502</v>
      </c>
      <c r="BQ21" s="186">
        <v>14909.8467800364</v>
      </c>
      <c r="BR21" s="186">
        <v>14909.8467800364</v>
      </c>
      <c r="BS21" s="186">
        <v>14909.84678</v>
      </c>
      <c r="BT21" s="186">
        <v>14909.8467800364</v>
      </c>
      <c r="BU21" s="186">
        <v>14791.671951864801</v>
      </c>
      <c r="BV21" s="186">
        <v>14781.821783000099</v>
      </c>
      <c r="BW21" s="186">
        <v>14470.7797096127</v>
      </c>
      <c r="BX21" s="186">
        <v>323.966454696612</v>
      </c>
      <c r="BY21" s="186">
        <v>118.174828183158</v>
      </c>
      <c r="BZ21" s="186">
        <v>116.85798111536199</v>
      </c>
      <c r="CA21" s="186">
        <v>5.3258848459749504E-10</v>
      </c>
      <c r="CB21" s="186">
        <v>2.5679652466657E-30</v>
      </c>
      <c r="CC21" s="187">
        <v>5.3258848456936501E-10</v>
      </c>
      <c r="CK21" s="181"/>
      <c r="CM21" s="181"/>
      <c r="CZ21" s="181"/>
      <c r="DC21" s="181"/>
    </row>
    <row r="22" spans="1:107">
      <c r="A22" s="121" t="s">
        <v>164</v>
      </c>
      <c r="B22" s="67" t="s">
        <v>509</v>
      </c>
      <c r="C22" s="186">
        <v>0</v>
      </c>
      <c r="D22" s="186">
        <v>0</v>
      </c>
      <c r="E22" s="186">
        <v>0</v>
      </c>
      <c r="F22" s="186">
        <v>0</v>
      </c>
      <c r="G22" s="186">
        <v>0</v>
      </c>
      <c r="H22" s="186">
        <v>0</v>
      </c>
      <c r="I22" s="186"/>
      <c r="J22" s="186">
        <f t="shared" si="0"/>
        <v>0</v>
      </c>
      <c r="K22" s="186">
        <v>0</v>
      </c>
      <c r="L22" s="186">
        <v>0</v>
      </c>
      <c r="M22" s="186">
        <v>0</v>
      </c>
      <c r="N22" s="186">
        <v>0</v>
      </c>
      <c r="O22" s="186">
        <v>0</v>
      </c>
      <c r="P22" s="186">
        <v>0</v>
      </c>
      <c r="Q22" s="186">
        <v>0</v>
      </c>
      <c r="R22" s="186">
        <v>0</v>
      </c>
      <c r="S22" s="186">
        <v>0</v>
      </c>
      <c r="T22" s="186">
        <v>0</v>
      </c>
      <c r="U22" s="186">
        <v>0</v>
      </c>
      <c r="V22" s="186">
        <v>0</v>
      </c>
      <c r="W22" s="186">
        <v>0</v>
      </c>
      <c r="X22" s="186">
        <v>0</v>
      </c>
      <c r="Y22" s="186">
        <v>0</v>
      </c>
      <c r="Z22" s="186">
        <v>0</v>
      </c>
      <c r="AA22" s="186">
        <v>0</v>
      </c>
      <c r="AB22" s="186">
        <v>0</v>
      </c>
      <c r="AC22" s="186">
        <v>0</v>
      </c>
      <c r="AD22" s="186">
        <v>0</v>
      </c>
      <c r="AE22" s="186">
        <v>0</v>
      </c>
      <c r="AF22" s="186">
        <v>0</v>
      </c>
      <c r="AG22" s="186">
        <v>0</v>
      </c>
      <c r="AH22" s="186">
        <v>0</v>
      </c>
      <c r="AI22" s="186">
        <v>0</v>
      </c>
      <c r="AJ22" s="186">
        <v>0</v>
      </c>
      <c r="AK22" s="186">
        <v>0</v>
      </c>
      <c r="AL22" s="186">
        <v>0</v>
      </c>
      <c r="AM22" s="186">
        <v>0</v>
      </c>
      <c r="AN22" s="186">
        <v>0</v>
      </c>
      <c r="AO22" s="186">
        <v>0</v>
      </c>
      <c r="AP22" s="186">
        <v>0</v>
      </c>
      <c r="AQ22" s="186">
        <v>0</v>
      </c>
      <c r="AR22" s="186">
        <v>0</v>
      </c>
      <c r="AS22" s="186">
        <v>0</v>
      </c>
      <c r="AT22" s="186">
        <v>0</v>
      </c>
      <c r="AU22" s="186">
        <v>0</v>
      </c>
      <c r="AV22" s="186">
        <v>0</v>
      </c>
      <c r="AW22" s="186">
        <v>0</v>
      </c>
      <c r="AX22" s="186">
        <v>0</v>
      </c>
      <c r="AY22" s="186">
        <v>0</v>
      </c>
      <c r="AZ22" s="186">
        <v>0</v>
      </c>
      <c r="BA22" s="186">
        <v>0</v>
      </c>
      <c r="BB22" s="186">
        <v>0</v>
      </c>
      <c r="BC22" s="186">
        <v>0</v>
      </c>
      <c r="BD22" s="186">
        <v>0</v>
      </c>
      <c r="BE22" s="186">
        <v>0</v>
      </c>
      <c r="BF22" s="186">
        <v>0</v>
      </c>
      <c r="BG22" s="186">
        <v>0</v>
      </c>
      <c r="BH22" s="186">
        <v>856.145998123087</v>
      </c>
      <c r="BI22" s="186">
        <v>856.14599812000301</v>
      </c>
      <c r="BJ22" s="186">
        <v>856.14599812000301</v>
      </c>
      <c r="BK22" s="186">
        <v>856.145998123087</v>
      </c>
      <c r="BL22" s="186">
        <v>1004.49284193429</v>
      </c>
      <c r="BM22" s="186">
        <v>1004.4928419</v>
      </c>
      <c r="BN22" s="186">
        <v>1004.49284193429</v>
      </c>
      <c r="BO22" s="186">
        <v>6.3756555743714999E-2</v>
      </c>
      <c r="BP22" s="186">
        <v>6.3756555743714804E-2</v>
      </c>
      <c r="BQ22" s="186">
        <v>1004.4290887152</v>
      </c>
      <c r="BR22" s="186">
        <v>1004.4290887152</v>
      </c>
      <c r="BS22" s="186">
        <v>1004.4290887</v>
      </c>
      <c r="BT22" s="186">
        <v>1004.4290887152</v>
      </c>
      <c r="BU22" s="186">
        <v>874.94372615232805</v>
      </c>
      <c r="BV22" s="186">
        <v>874.34511662000398</v>
      </c>
      <c r="BW22" s="186">
        <v>856.14599812308302</v>
      </c>
      <c r="BX22" s="186">
        <v>19.1662985698181</v>
      </c>
      <c r="BY22" s="186">
        <v>129.485362560916</v>
      </c>
      <c r="BZ22" s="186">
        <v>128.97705090818499</v>
      </c>
      <c r="CA22" s="186">
        <v>0.27858712842983402</v>
      </c>
      <c r="CB22" s="186">
        <v>1.6807859216464799E-14</v>
      </c>
      <c r="CC22" s="187">
        <v>0.27858712841510302</v>
      </c>
      <c r="CM22" s="181"/>
    </row>
    <row r="23" spans="1:107">
      <c r="A23" s="121" t="s">
        <v>165</v>
      </c>
      <c r="B23" s="67" t="s">
        <v>509</v>
      </c>
      <c r="C23" s="186">
        <v>0</v>
      </c>
      <c r="D23" s="186">
        <v>0</v>
      </c>
      <c r="E23" s="186">
        <v>0</v>
      </c>
      <c r="F23" s="186">
        <v>0</v>
      </c>
      <c r="G23" s="186">
        <v>0</v>
      </c>
      <c r="H23" s="186">
        <v>0</v>
      </c>
      <c r="I23" s="186"/>
      <c r="J23" s="186">
        <f t="shared" si="0"/>
        <v>0</v>
      </c>
      <c r="K23" s="186">
        <v>0</v>
      </c>
      <c r="L23" s="186">
        <v>0</v>
      </c>
      <c r="M23" s="186">
        <v>0</v>
      </c>
      <c r="N23" s="186">
        <v>0</v>
      </c>
      <c r="O23" s="186">
        <v>0</v>
      </c>
      <c r="P23" s="186">
        <v>0</v>
      </c>
      <c r="Q23" s="186">
        <v>0</v>
      </c>
      <c r="R23" s="186">
        <v>0</v>
      </c>
      <c r="S23" s="186">
        <v>0</v>
      </c>
      <c r="T23" s="186">
        <v>0</v>
      </c>
      <c r="U23" s="186">
        <v>0</v>
      </c>
      <c r="V23" s="186">
        <v>0</v>
      </c>
      <c r="W23" s="186">
        <v>0</v>
      </c>
      <c r="X23" s="186">
        <v>0</v>
      </c>
      <c r="Y23" s="186">
        <v>0</v>
      </c>
      <c r="Z23" s="186">
        <v>0</v>
      </c>
      <c r="AA23" s="186">
        <v>0</v>
      </c>
      <c r="AB23" s="186">
        <v>0</v>
      </c>
      <c r="AC23" s="186">
        <v>0</v>
      </c>
      <c r="AD23" s="186">
        <v>0</v>
      </c>
      <c r="AE23" s="186">
        <v>0</v>
      </c>
      <c r="AF23" s="186">
        <v>0</v>
      </c>
      <c r="AG23" s="186">
        <v>0</v>
      </c>
      <c r="AH23" s="186">
        <v>0</v>
      </c>
      <c r="AI23" s="186">
        <v>0</v>
      </c>
      <c r="AJ23" s="186">
        <v>0</v>
      </c>
      <c r="AK23" s="186">
        <v>0</v>
      </c>
      <c r="AL23" s="186">
        <v>0</v>
      </c>
      <c r="AM23" s="186">
        <v>0</v>
      </c>
      <c r="AN23" s="186">
        <v>0</v>
      </c>
      <c r="AO23" s="186">
        <v>0</v>
      </c>
      <c r="AP23" s="186">
        <v>0</v>
      </c>
      <c r="AQ23" s="186">
        <v>0</v>
      </c>
      <c r="AR23" s="186">
        <v>0</v>
      </c>
      <c r="AS23" s="186">
        <v>0</v>
      </c>
      <c r="AT23" s="186">
        <v>0</v>
      </c>
      <c r="AU23" s="186">
        <v>0</v>
      </c>
      <c r="AV23" s="186">
        <v>0</v>
      </c>
      <c r="AW23" s="186">
        <v>0</v>
      </c>
      <c r="AX23" s="186">
        <v>0</v>
      </c>
      <c r="AY23" s="186">
        <v>0</v>
      </c>
      <c r="AZ23" s="186">
        <v>0</v>
      </c>
      <c r="BA23" s="186">
        <v>0</v>
      </c>
      <c r="BB23" s="186">
        <v>0</v>
      </c>
      <c r="BC23" s="186">
        <v>0</v>
      </c>
      <c r="BD23" s="186">
        <v>0</v>
      </c>
      <c r="BE23" s="186">
        <v>0</v>
      </c>
      <c r="BF23" s="186">
        <v>0</v>
      </c>
      <c r="BG23" s="186">
        <v>0</v>
      </c>
      <c r="BH23" s="186">
        <v>409.714505415367</v>
      </c>
      <c r="BI23" s="186">
        <v>409.71450542000201</v>
      </c>
      <c r="BJ23" s="186">
        <v>409.71450542000201</v>
      </c>
      <c r="BK23" s="186">
        <v>409.714505415367</v>
      </c>
      <c r="BL23" s="186">
        <v>720.53646387695801</v>
      </c>
      <c r="BM23" s="186">
        <v>720.53646388000095</v>
      </c>
      <c r="BN23" s="186">
        <v>720.53646387695801</v>
      </c>
      <c r="BO23" s="186">
        <v>4.2748620774478399E-2</v>
      </c>
      <c r="BP23" s="186">
        <v>4.2748620774478302E-2</v>
      </c>
      <c r="BQ23" s="186">
        <v>720.49371764981402</v>
      </c>
      <c r="BR23" s="186">
        <v>720.49371764981402</v>
      </c>
      <c r="BS23" s="186">
        <v>720.49371765000001</v>
      </c>
      <c r="BT23" s="186">
        <v>720.49371764981402</v>
      </c>
      <c r="BU23" s="186">
        <v>418.519269217248</v>
      </c>
      <c r="BV23" s="186">
        <v>418.00332430000202</v>
      </c>
      <c r="BW23" s="186">
        <v>409.71450541536802</v>
      </c>
      <c r="BX23" s="186">
        <v>9.1674342544234992</v>
      </c>
      <c r="BY23" s="186">
        <v>301.97444842645302</v>
      </c>
      <c r="BZ23" s="186">
        <v>2.5981793192754301</v>
      </c>
      <c r="CA23" s="186">
        <v>299.291234469475</v>
      </c>
      <c r="CB23" s="186">
        <v>5.9238601146982297E-6</v>
      </c>
      <c r="CC23" s="187">
        <v>299.291228529808</v>
      </c>
      <c r="CM23" s="181"/>
      <c r="CX23" s="181"/>
      <c r="CY23" s="181"/>
    </row>
    <row r="24" spans="1:107">
      <c r="A24" s="121" t="s">
        <v>166</v>
      </c>
      <c r="B24" s="67" t="s">
        <v>509</v>
      </c>
      <c r="C24" s="186">
        <v>0</v>
      </c>
      <c r="D24" s="186">
        <v>0</v>
      </c>
      <c r="E24" s="186">
        <v>0</v>
      </c>
      <c r="F24" s="186">
        <v>0</v>
      </c>
      <c r="G24" s="186">
        <v>0</v>
      </c>
      <c r="H24" s="186">
        <v>0</v>
      </c>
      <c r="I24" s="186"/>
      <c r="J24" s="186">
        <f t="shared" si="0"/>
        <v>0</v>
      </c>
      <c r="K24" s="186">
        <v>0</v>
      </c>
      <c r="L24" s="186">
        <v>0</v>
      </c>
      <c r="M24" s="186">
        <v>0</v>
      </c>
      <c r="N24" s="186">
        <v>0</v>
      </c>
      <c r="O24" s="186">
        <v>0</v>
      </c>
      <c r="P24" s="186">
        <v>0</v>
      </c>
      <c r="Q24" s="186">
        <v>0</v>
      </c>
      <c r="R24" s="186">
        <v>0</v>
      </c>
      <c r="S24" s="186">
        <v>0</v>
      </c>
      <c r="T24" s="186">
        <v>0</v>
      </c>
      <c r="U24" s="186">
        <v>0</v>
      </c>
      <c r="V24" s="186">
        <v>0</v>
      </c>
      <c r="W24" s="186">
        <v>0</v>
      </c>
      <c r="X24" s="186">
        <v>0</v>
      </c>
      <c r="Y24" s="186">
        <v>0</v>
      </c>
      <c r="Z24" s="186">
        <v>0</v>
      </c>
      <c r="AA24" s="186">
        <v>0</v>
      </c>
      <c r="AB24" s="186">
        <v>0</v>
      </c>
      <c r="AC24" s="186">
        <v>0</v>
      </c>
      <c r="AD24" s="186">
        <v>0</v>
      </c>
      <c r="AE24" s="186">
        <v>0</v>
      </c>
      <c r="AF24" s="186">
        <v>0</v>
      </c>
      <c r="AG24" s="186">
        <v>0</v>
      </c>
      <c r="AH24" s="186">
        <v>0</v>
      </c>
      <c r="AI24" s="186">
        <v>0</v>
      </c>
      <c r="AJ24" s="186">
        <v>0</v>
      </c>
      <c r="AK24" s="186">
        <v>0</v>
      </c>
      <c r="AL24" s="186">
        <v>0</v>
      </c>
      <c r="AM24" s="186">
        <v>0</v>
      </c>
      <c r="AN24" s="186">
        <v>0</v>
      </c>
      <c r="AO24" s="186">
        <v>0</v>
      </c>
      <c r="AP24" s="186">
        <v>0</v>
      </c>
      <c r="AQ24" s="186">
        <v>0</v>
      </c>
      <c r="AR24" s="186">
        <v>0</v>
      </c>
      <c r="AS24" s="186">
        <v>0</v>
      </c>
      <c r="AT24" s="186">
        <v>0</v>
      </c>
      <c r="AU24" s="186">
        <v>0</v>
      </c>
      <c r="AV24" s="186">
        <v>0</v>
      </c>
      <c r="AW24" s="186">
        <v>0</v>
      </c>
      <c r="AX24" s="186">
        <v>0</v>
      </c>
      <c r="AY24" s="186">
        <v>0</v>
      </c>
      <c r="AZ24" s="186">
        <v>0</v>
      </c>
      <c r="BA24" s="186">
        <v>0</v>
      </c>
      <c r="BB24" s="186">
        <v>0</v>
      </c>
      <c r="BC24" s="186">
        <v>0</v>
      </c>
      <c r="BD24" s="186">
        <v>0</v>
      </c>
      <c r="BE24" s="186">
        <v>0</v>
      </c>
      <c r="BF24" s="186">
        <v>0</v>
      </c>
      <c r="BG24" s="186">
        <v>0</v>
      </c>
      <c r="BH24" s="186">
        <v>10.2014811480256</v>
      </c>
      <c r="BI24" s="186">
        <v>10.201481147999999</v>
      </c>
      <c r="BJ24" s="186">
        <v>10.201481147999999</v>
      </c>
      <c r="BK24" s="186">
        <v>10.2014811480256</v>
      </c>
      <c r="BL24" s="186">
        <v>281.46428125995999</v>
      </c>
      <c r="BM24" s="186">
        <v>281.46428126000097</v>
      </c>
      <c r="BN24" s="186">
        <v>281.46428125995999</v>
      </c>
      <c r="BO24" s="186">
        <v>1.7279028014560199E-2</v>
      </c>
      <c r="BP24" s="186">
        <v>1.7279028014560199E-2</v>
      </c>
      <c r="BQ24" s="186">
        <v>281.44700316693201</v>
      </c>
      <c r="BR24" s="186">
        <v>281.44700316693201</v>
      </c>
      <c r="BS24" s="186">
        <v>281.44700317000002</v>
      </c>
      <c r="BT24" s="186">
        <v>281.44700316693201</v>
      </c>
      <c r="BU24" s="186">
        <v>10.419690285605</v>
      </c>
      <c r="BV24" s="186">
        <v>10.413290473</v>
      </c>
      <c r="BW24" s="186">
        <v>10.2014811480256</v>
      </c>
      <c r="BX24" s="186">
        <v>0.22823768146652401</v>
      </c>
      <c r="BY24" s="186">
        <v>271.02731287549102</v>
      </c>
      <c r="BZ24" s="186">
        <v>1.19032841604692E-20</v>
      </c>
      <c r="CA24" s="186">
        <v>271.02519122198999</v>
      </c>
      <c r="CB24" s="186">
        <v>271.02519115513701</v>
      </c>
      <c r="CC24" s="187">
        <v>1.08793417125515E-7</v>
      </c>
      <c r="CJ24" s="181"/>
      <c r="DC24" s="181"/>
    </row>
    <row r="25" spans="1:107">
      <c r="A25" s="121" t="s">
        <v>167</v>
      </c>
      <c r="B25" s="67" t="s">
        <v>509</v>
      </c>
      <c r="C25" s="186">
        <v>0</v>
      </c>
      <c r="D25" s="186">
        <v>0</v>
      </c>
      <c r="E25" s="186">
        <v>0</v>
      </c>
      <c r="F25" s="186">
        <v>0</v>
      </c>
      <c r="G25" s="186">
        <v>0</v>
      </c>
      <c r="H25" s="186">
        <v>0</v>
      </c>
      <c r="I25" s="186"/>
      <c r="J25" s="186">
        <f t="shared" si="0"/>
        <v>0</v>
      </c>
      <c r="K25" s="186">
        <v>0</v>
      </c>
      <c r="L25" s="186">
        <v>0</v>
      </c>
      <c r="M25" s="186">
        <v>0</v>
      </c>
      <c r="N25" s="186">
        <v>0</v>
      </c>
      <c r="O25" s="186">
        <v>0</v>
      </c>
      <c r="P25" s="186">
        <v>0</v>
      </c>
      <c r="Q25" s="186">
        <v>0</v>
      </c>
      <c r="R25" s="186">
        <v>0</v>
      </c>
      <c r="S25" s="186">
        <v>0</v>
      </c>
      <c r="T25" s="186">
        <v>0</v>
      </c>
      <c r="U25" s="186">
        <v>0</v>
      </c>
      <c r="V25" s="186">
        <v>0</v>
      </c>
      <c r="W25" s="186">
        <v>0</v>
      </c>
      <c r="X25" s="186">
        <v>0</v>
      </c>
      <c r="Y25" s="186">
        <v>0</v>
      </c>
      <c r="Z25" s="186">
        <v>0</v>
      </c>
      <c r="AA25" s="186">
        <v>0</v>
      </c>
      <c r="AB25" s="186">
        <v>0</v>
      </c>
      <c r="AC25" s="186">
        <v>0</v>
      </c>
      <c r="AD25" s="186">
        <v>0</v>
      </c>
      <c r="AE25" s="186">
        <v>0</v>
      </c>
      <c r="AF25" s="186">
        <v>0</v>
      </c>
      <c r="AG25" s="186">
        <v>0</v>
      </c>
      <c r="AH25" s="186">
        <v>0</v>
      </c>
      <c r="AI25" s="186">
        <v>0</v>
      </c>
      <c r="AJ25" s="186">
        <v>0</v>
      </c>
      <c r="AK25" s="186">
        <v>0</v>
      </c>
      <c r="AL25" s="186">
        <v>0</v>
      </c>
      <c r="AM25" s="186">
        <v>0</v>
      </c>
      <c r="AN25" s="186">
        <v>0</v>
      </c>
      <c r="AO25" s="186">
        <v>0</v>
      </c>
      <c r="AP25" s="186">
        <v>0</v>
      </c>
      <c r="AQ25" s="186">
        <v>0</v>
      </c>
      <c r="AR25" s="186">
        <v>0</v>
      </c>
      <c r="AS25" s="186">
        <v>0</v>
      </c>
      <c r="AT25" s="186">
        <v>0</v>
      </c>
      <c r="AU25" s="186">
        <v>0</v>
      </c>
      <c r="AV25" s="186">
        <v>0</v>
      </c>
      <c r="AW25" s="186">
        <v>0</v>
      </c>
      <c r="AX25" s="186">
        <v>0</v>
      </c>
      <c r="AY25" s="186">
        <v>0</v>
      </c>
      <c r="AZ25" s="186">
        <v>0</v>
      </c>
      <c r="BA25" s="186">
        <v>0</v>
      </c>
      <c r="BB25" s="186">
        <v>0</v>
      </c>
      <c r="BC25" s="186">
        <v>0</v>
      </c>
      <c r="BD25" s="186">
        <v>0</v>
      </c>
      <c r="BE25" s="186">
        <v>0</v>
      </c>
      <c r="BF25" s="186">
        <v>0</v>
      </c>
      <c r="BG25" s="186">
        <v>0</v>
      </c>
      <c r="BH25" s="186">
        <v>0.173234081405647</v>
      </c>
      <c r="BI25" s="186">
        <v>0.17323408141000099</v>
      </c>
      <c r="BJ25" s="186">
        <v>0.17323408141000099</v>
      </c>
      <c r="BK25" s="186">
        <v>0.173234081405647</v>
      </c>
      <c r="BL25" s="186">
        <v>56.686317438058602</v>
      </c>
      <c r="BM25" s="186">
        <v>56.686317438000103</v>
      </c>
      <c r="BN25" s="186">
        <v>56.686317438058602</v>
      </c>
      <c r="BO25" s="186">
        <v>3.5308809794737501E-3</v>
      </c>
      <c r="BP25" s="186">
        <v>3.5308809794737501E-3</v>
      </c>
      <c r="BQ25" s="186">
        <v>56.682786745380099</v>
      </c>
      <c r="BR25" s="186">
        <v>56.682786745380099</v>
      </c>
      <c r="BS25" s="186">
        <v>56.682786745000001</v>
      </c>
      <c r="BT25" s="186">
        <v>56.682786745380099</v>
      </c>
      <c r="BU25" s="186">
        <v>0.176812450707791</v>
      </c>
      <c r="BV25" s="186">
        <v>0.17678625348000099</v>
      </c>
      <c r="BW25" s="186">
        <v>0.173234081405648</v>
      </c>
      <c r="BX25" s="186">
        <v>3.8739752157921099E-3</v>
      </c>
      <c r="BY25" s="186">
        <v>56.505974293453598</v>
      </c>
      <c r="BZ25" s="186">
        <v>4.0421719177566596E-31</v>
      </c>
      <c r="CA25" s="186">
        <v>56.505892898692302</v>
      </c>
      <c r="CB25" s="186">
        <v>56.5058929074372</v>
      </c>
      <c r="CC25" s="187">
        <v>8.5028574734073007E-31</v>
      </c>
      <c r="CJ25" s="181"/>
      <c r="CN25" s="181"/>
      <c r="DC25" s="181"/>
    </row>
    <row r="26" spans="1:107">
      <c r="A26" s="182" t="s">
        <v>511</v>
      </c>
      <c r="B26" s="183"/>
      <c r="C26" s="188"/>
      <c r="D26" s="188"/>
      <c r="E26" s="188"/>
      <c r="F26" s="188"/>
      <c r="G26" s="188"/>
      <c r="H26" s="188"/>
      <c r="I26" s="188">
        <v>0</v>
      </c>
      <c r="J26" s="188"/>
      <c r="K26" s="188"/>
      <c r="L26" s="188"/>
      <c r="M26" s="188"/>
      <c r="N26" s="188"/>
      <c r="O26" s="188"/>
      <c r="P26" s="188"/>
      <c r="Q26" s="188"/>
      <c r="R26" s="188"/>
      <c r="S26" s="188"/>
      <c r="T26" s="188"/>
      <c r="U26" s="188"/>
      <c r="V26" s="188"/>
      <c r="W26" s="188"/>
      <c r="X26" s="188"/>
      <c r="Y26" s="188"/>
      <c r="Z26" s="188"/>
      <c r="AA26" s="188"/>
      <c r="AB26" s="188"/>
      <c r="AC26" s="188"/>
      <c r="AD26" s="188"/>
      <c r="AE26" s="188"/>
      <c r="AF26" s="188"/>
      <c r="AG26" s="188"/>
      <c r="AH26" s="188"/>
      <c r="AI26" s="188"/>
      <c r="AJ26" s="188"/>
      <c r="AK26" s="188"/>
      <c r="AL26" s="188"/>
      <c r="AM26" s="188"/>
      <c r="AN26" s="188"/>
      <c r="AO26" s="188"/>
      <c r="AP26" s="188"/>
      <c r="AQ26" s="188"/>
      <c r="AR26" s="188"/>
      <c r="AS26" s="188"/>
      <c r="AT26" s="188"/>
      <c r="AU26" s="188"/>
      <c r="AV26" s="188"/>
      <c r="AW26" s="188"/>
      <c r="AX26" s="188"/>
      <c r="AY26" s="188"/>
      <c r="AZ26" s="188"/>
      <c r="BA26" s="188"/>
      <c r="BB26" s="188"/>
      <c r="BC26" s="188"/>
      <c r="BD26" s="188"/>
      <c r="BE26" s="188"/>
      <c r="BF26" s="188"/>
      <c r="BG26" s="188"/>
      <c r="BH26" s="188"/>
      <c r="BI26" s="188"/>
      <c r="BJ26" s="188"/>
      <c r="BK26" s="188"/>
      <c r="BL26" s="188"/>
      <c r="BM26" s="188"/>
      <c r="BN26" s="188"/>
      <c r="BO26" s="188"/>
      <c r="BP26" s="188"/>
      <c r="BQ26" s="188"/>
      <c r="BR26" s="188"/>
      <c r="BS26" s="188"/>
      <c r="BT26" s="188"/>
      <c r="BU26" s="188"/>
      <c r="BV26" s="188"/>
      <c r="BW26" s="188"/>
      <c r="BX26" s="188"/>
      <c r="BY26" s="188"/>
      <c r="BZ26" s="188"/>
      <c r="CA26" s="188"/>
      <c r="CB26" s="188"/>
      <c r="CC26" s="189"/>
    </row>
    <row r="27" spans="1:107">
      <c r="A27" s="121" t="s">
        <v>68</v>
      </c>
      <c r="B27" s="67"/>
      <c r="C27" s="190">
        <v>0.97676597102077301</v>
      </c>
      <c r="D27" s="190">
        <v>0.97676597102077301</v>
      </c>
      <c r="E27" s="190">
        <v>0.97676597102077301</v>
      </c>
      <c r="F27" s="190">
        <v>0</v>
      </c>
      <c r="G27" s="190">
        <v>0.97676597102077301</v>
      </c>
      <c r="H27" s="190">
        <v>0.97676597102077301</v>
      </c>
      <c r="I27" s="190"/>
      <c r="J27" s="190">
        <f t="shared" si="0"/>
        <v>0</v>
      </c>
      <c r="K27" s="190">
        <v>0</v>
      </c>
      <c r="L27" s="190">
        <v>0</v>
      </c>
      <c r="M27" s="190">
        <v>0</v>
      </c>
      <c r="N27" s="190">
        <v>0</v>
      </c>
      <c r="O27" s="190">
        <v>0.24609134043126801</v>
      </c>
      <c r="P27" s="190">
        <v>0.24609134043126801</v>
      </c>
      <c r="Q27" s="190">
        <v>0.24609134043126801</v>
      </c>
      <c r="R27" s="190">
        <v>0.102869949737634</v>
      </c>
      <c r="S27" s="190">
        <v>0.10242050864211499</v>
      </c>
      <c r="T27" s="190">
        <v>0.10242050864211499</v>
      </c>
      <c r="U27" s="190">
        <v>0.10242050864211499</v>
      </c>
      <c r="V27" s="190">
        <v>0.10242050864211499</v>
      </c>
      <c r="W27" s="190">
        <v>0.10242050864211499</v>
      </c>
      <c r="X27" s="190">
        <v>0.102869949737634</v>
      </c>
      <c r="Y27" s="190">
        <v>3.83400529392343E-4</v>
      </c>
      <c r="Z27" s="190">
        <v>0.12194105637119999</v>
      </c>
      <c r="AA27" s="190">
        <v>0.12194105637119999</v>
      </c>
      <c r="AB27" s="190">
        <v>0.12194105637119999</v>
      </c>
      <c r="AC27" s="190">
        <v>8.0635568296018496E-4</v>
      </c>
      <c r="AD27" s="190">
        <v>0.122392411583888</v>
      </c>
      <c r="AE27" s="190">
        <v>0.122392411583888</v>
      </c>
      <c r="AF27" s="190">
        <v>0.150374164834813</v>
      </c>
      <c r="AG27" s="190">
        <v>0.15037416483694699</v>
      </c>
      <c r="AH27" s="190">
        <v>0.15037416483694699</v>
      </c>
      <c r="AI27" s="190">
        <v>0.15031924407295799</v>
      </c>
      <c r="AJ27" s="190">
        <v>0.14509116499660299</v>
      </c>
      <c r="AK27" s="190">
        <v>0.14515855628837299</v>
      </c>
      <c r="AL27" s="190">
        <v>0.14515855628549801</v>
      </c>
      <c r="AM27" s="190">
        <v>0.16166317561714999</v>
      </c>
      <c r="AN27" s="190">
        <v>0.16170324949131101</v>
      </c>
      <c r="AO27" s="190">
        <v>0.16170324949131001</v>
      </c>
      <c r="AP27" s="190">
        <v>0.16166317561714999</v>
      </c>
      <c r="AQ27" s="190">
        <v>2.7703644113305701E-2</v>
      </c>
      <c r="AR27" s="190">
        <v>2.7703644113305701E-2</v>
      </c>
      <c r="AS27" s="190">
        <v>3.24321173927451E-9</v>
      </c>
      <c r="AT27" s="190">
        <v>3.69248541766653E-2</v>
      </c>
      <c r="AU27" s="190">
        <v>3.3434366617495603E-2</v>
      </c>
      <c r="AV27" s="190">
        <v>3.3434366617703701E-2</v>
      </c>
      <c r="AW27" s="190">
        <v>3.3434366617495603E-2</v>
      </c>
      <c r="AX27" s="190">
        <v>3.3434366617495603E-2</v>
      </c>
      <c r="AY27" s="190">
        <v>3.3434366617493397E-2</v>
      </c>
      <c r="AZ27" s="190">
        <v>3.3434366617495603E-2</v>
      </c>
      <c r="BA27" s="190">
        <v>1.1922986655652699E-5</v>
      </c>
      <c r="BB27" s="190">
        <v>1.1269652906644799E-8</v>
      </c>
      <c r="BC27" s="190">
        <v>6.7300020834202306E-5</v>
      </c>
      <c r="BD27" s="190">
        <v>6.7300020834202306E-5</v>
      </c>
      <c r="BE27" s="190">
        <v>7.1949680367980301E-2</v>
      </c>
      <c r="BF27" s="190">
        <v>0.16166317561714999</v>
      </c>
      <c r="BG27" s="190">
        <v>0.11360640972680799</v>
      </c>
      <c r="BH27" s="190">
        <v>0.15189539544168601</v>
      </c>
      <c r="BI27" s="190">
        <v>0.15189539544290601</v>
      </c>
      <c r="BJ27" s="190">
        <v>0.15189539544290601</v>
      </c>
      <c r="BK27" s="190">
        <v>0.15189539544168601</v>
      </c>
      <c r="BL27" s="190">
        <v>0.15189539544168601</v>
      </c>
      <c r="BM27" s="190">
        <v>0.151895395444262</v>
      </c>
      <c r="BN27" s="190">
        <v>0.15189539544168601</v>
      </c>
      <c r="BO27" s="190">
        <v>8.6032218729649597E-4</v>
      </c>
      <c r="BP27" s="190">
        <v>3.2467457106542802E-4</v>
      </c>
      <c r="BQ27" s="190">
        <v>0.15946709299166401</v>
      </c>
      <c r="BR27" s="190">
        <v>0.15946709299166401</v>
      </c>
      <c r="BS27" s="190">
        <v>0.15946709299206199</v>
      </c>
      <c r="BT27" s="190">
        <v>0.15946709299166401</v>
      </c>
      <c r="BU27" s="190">
        <v>0.156710083452371</v>
      </c>
      <c r="BV27" s="190">
        <v>0.15663389761285301</v>
      </c>
      <c r="BW27" s="190">
        <v>0.15670825603139299</v>
      </c>
      <c r="BX27" s="190">
        <v>0.15669001154069001</v>
      </c>
      <c r="BY27" s="190">
        <v>0.21579525147810799</v>
      </c>
      <c r="BZ27" s="190">
        <v>0.74514142883748502</v>
      </c>
      <c r="CA27" s="190">
        <v>2.2496383530500602E-6</v>
      </c>
      <c r="CB27" s="190">
        <v>6.2648462378707001E-21</v>
      </c>
      <c r="CC27" s="191">
        <v>3.01749156818076E-6</v>
      </c>
      <c r="CK27" s="181"/>
      <c r="CM27" s="181"/>
      <c r="CZ27" s="181"/>
      <c r="DC27" s="181"/>
    </row>
    <row r="28" spans="1:107">
      <c r="A28" s="121" t="s">
        <v>69</v>
      </c>
      <c r="B28" s="67"/>
      <c r="C28" s="190">
        <v>0</v>
      </c>
      <c r="D28" s="190">
        <v>0</v>
      </c>
      <c r="E28" s="190">
        <v>0</v>
      </c>
      <c r="F28" s="190">
        <v>0</v>
      </c>
      <c r="G28" s="190">
        <v>0</v>
      </c>
      <c r="H28" s="190">
        <v>0</v>
      </c>
      <c r="I28" s="190"/>
      <c r="J28" s="190">
        <f>L14/J12</f>
        <v>0.66666666666666741</v>
      </c>
      <c r="K28" s="190">
        <v>0</v>
      </c>
      <c r="L28" s="190">
        <v>1</v>
      </c>
      <c r="M28" s="190">
        <v>1</v>
      </c>
      <c r="N28" s="190">
        <v>1</v>
      </c>
      <c r="O28" s="190">
        <v>0.74805496123665105</v>
      </c>
      <c r="P28" s="190">
        <v>0.74805496123665105</v>
      </c>
      <c r="Q28" s="190">
        <v>0.74805496123665105</v>
      </c>
      <c r="R28" s="190">
        <v>0.58493362338601596</v>
      </c>
      <c r="S28" s="190">
        <v>0.58603620261816503</v>
      </c>
      <c r="T28" s="190">
        <v>0.58603620261816503</v>
      </c>
      <c r="U28" s="190">
        <v>0.58603620261816503</v>
      </c>
      <c r="V28" s="190">
        <v>0.58603620261816503</v>
      </c>
      <c r="W28" s="190">
        <v>0.58603620261816503</v>
      </c>
      <c r="X28" s="190">
        <v>0.58493362338601596</v>
      </c>
      <c r="Y28" s="190">
        <v>3.13060623152578E-5</v>
      </c>
      <c r="Z28" s="190">
        <v>0.69377458398109504</v>
      </c>
      <c r="AA28" s="190">
        <v>0.69377458398109504</v>
      </c>
      <c r="AB28" s="190">
        <v>0.69377458398109504</v>
      </c>
      <c r="AC28" s="190">
        <v>6.8010638684275302E-5</v>
      </c>
      <c r="AD28" s="190">
        <v>0.69635937658119396</v>
      </c>
      <c r="AE28" s="190">
        <v>0.69635937658119396</v>
      </c>
      <c r="AF28" s="190">
        <v>0.71798717848898297</v>
      </c>
      <c r="AG28" s="190">
        <v>0.71798717848681803</v>
      </c>
      <c r="AH28" s="190">
        <v>0.71798717848681803</v>
      </c>
      <c r="AI28" s="190">
        <v>0.71805555731910597</v>
      </c>
      <c r="AJ28" s="190">
        <v>0.63766434318575205</v>
      </c>
      <c r="AK28" s="190">
        <v>0.63757921898444903</v>
      </c>
      <c r="AL28" s="190">
        <v>0.63757921898730896</v>
      </c>
      <c r="AM28" s="190">
        <v>0.72679269250665601</v>
      </c>
      <c r="AN28" s="190">
        <v>0.72674371338334998</v>
      </c>
      <c r="AO28" s="190">
        <v>0.72674371338334998</v>
      </c>
      <c r="AP28" s="190">
        <v>0.72679269250665601</v>
      </c>
      <c r="AQ28" s="190">
        <v>2.6926768484289601E-3</v>
      </c>
      <c r="AR28" s="190">
        <v>2.6926768484289601E-3</v>
      </c>
      <c r="AS28" s="190">
        <v>8.5142236593785104E-69</v>
      </c>
      <c r="AT28" s="190">
        <v>3.5889395082192499E-3</v>
      </c>
      <c r="AU28" s="190">
        <v>3.2490594214644999E-3</v>
      </c>
      <c r="AV28" s="190">
        <v>3.2490594214559299E-3</v>
      </c>
      <c r="AW28" s="190">
        <v>3.2490594214644999E-3</v>
      </c>
      <c r="AX28" s="190">
        <v>3.2490594214644999E-3</v>
      </c>
      <c r="AY28" s="190">
        <v>3.2490594214354901E-3</v>
      </c>
      <c r="AZ28" s="190">
        <v>3.2490594214644999E-3</v>
      </c>
      <c r="BA28" s="190">
        <v>5.8582611954233202E-68</v>
      </c>
      <c r="BB28" s="190">
        <v>0</v>
      </c>
      <c r="BC28" s="190">
        <v>0</v>
      </c>
      <c r="BD28" s="190">
        <v>0</v>
      </c>
      <c r="BE28" s="190">
        <v>6.9932064501456804E-3</v>
      </c>
      <c r="BF28" s="190">
        <v>0.72679269250665601</v>
      </c>
      <c r="BG28" s="190">
        <v>0.34121820013699999</v>
      </c>
      <c r="BH28" s="190">
        <v>0.51351893291145001</v>
      </c>
      <c r="BI28" s="190">
        <v>0.51351893290839901</v>
      </c>
      <c r="BJ28" s="190">
        <v>0.51351893290839901</v>
      </c>
      <c r="BK28" s="190">
        <v>0.51351893291145001</v>
      </c>
      <c r="BL28" s="190">
        <v>0.48599437453970801</v>
      </c>
      <c r="BM28" s="190">
        <v>0.48599437453951899</v>
      </c>
      <c r="BN28" s="190">
        <v>0.48599437453970801</v>
      </c>
      <c r="BO28" s="190">
        <v>4.1832404411545703E-5</v>
      </c>
      <c r="BP28" s="190">
        <v>2.0484219572518702E-5</v>
      </c>
      <c r="BQ28" s="190">
        <v>0.51035617073319395</v>
      </c>
      <c r="BR28" s="190">
        <v>0.51035617073319395</v>
      </c>
      <c r="BS28" s="190">
        <v>0.51035617073495498</v>
      </c>
      <c r="BT28" s="190">
        <v>0.51035617073319395</v>
      </c>
      <c r="BU28" s="190">
        <v>0.53511053513221396</v>
      </c>
      <c r="BV28" s="190">
        <v>0.53512800466141097</v>
      </c>
      <c r="BW28" s="190">
        <v>0.53517684290475398</v>
      </c>
      <c r="BX28" s="190">
        <v>0.53518780384925102</v>
      </c>
      <c r="BY28" s="190">
        <v>4.6024759283811497E-3</v>
      </c>
      <c r="BZ28" s="190">
        <v>7.3690722264466098E-9</v>
      </c>
      <c r="CA28" s="190">
        <v>5.5443402803458402E-122</v>
      </c>
      <c r="CB28" s="190">
        <v>0</v>
      </c>
      <c r="CC28" s="191">
        <v>0</v>
      </c>
      <c r="CJ28" s="181"/>
      <c r="CR28" s="181"/>
    </row>
    <row r="29" spans="1:107">
      <c r="A29" s="121" t="s">
        <v>510</v>
      </c>
      <c r="B29" s="67"/>
      <c r="C29" s="190">
        <v>0</v>
      </c>
      <c r="D29" s="190">
        <v>0</v>
      </c>
      <c r="E29" s="190">
        <v>0</v>
      </c>
      <c r="F29" s="190">
        <v>0</v>
      </c>
      <c r="G29" s="190">
        <v>0</v>
      </c>
      <c r="H29" s="190">
        <v>0</v>
      </c>
      <c r="I29" s="190"/>
      <c r="J29" s="190">
        <f t="shared" si="0"/>
        <v>0</v>
      </c>
      <c r="K29" s="190">
        <v>0</v>
      </c>
      <c r="L29" s="190">
        <v>0</v>
      </c>
      <c r="M29" s="190">
        <v>0</v>
      </c>
      <c r="N29" s="190">
        <v>0</v>
      </c>
      <c r="O29" s="190">
        <v>0</v>
      </c>
      <c r="P29" s="190">
        <v>0</v>
      </c>
      <c r="Q29" s="190">
        <v>0</v>
      </c>
      <c r="R29" s="190">
        <v>0.14189599066251099</v>
      </c>
      <c r="S29" s="190">
        <v>0.143153466777974</v>
      </c>
      <c r="T29" s="190">
        <v>0.143153466777974</v>
      </c>
      <c r="U29" s="190">
        <v>0.143153466777974</v>
      </c>
      <c r="V29" s="190">
        <v>0.143153466777974</v>
      </c>
      <c r="W29" s="190">
        <v>0.143153466777974</v>
      </c>
      <c r="X29" s="190">
        <v>0.14189599066251099</v>
      </c>
      <c r="Y29" s="190">
        <v>1.0796257475507801E-5</v>
      </c>
      <c r="Z29" s="190">
        <v>0.168298554639219</v>
      </c>
      <c r="AA29" s="190">
        <v>0.168298554639219</v>
      </c>
      <c r="AB29" s="190">
        <v>0.168298554639219</v>
      </c>
      <c r="AC29" s="190">
        <v>2.30872056269163E-5</v>
      </c>
      <c r="AD29" s="190">
        <v>0.16892555919664301</v>
      </c>
      <c r="AE29" s="190">
        <v>0.16892555919664301</v>
      </c>
      <c r="AF29" s="190">
        <v>7.4900208730517406E-2</v>
      </c>
      <c r="AG29" s="190">
        <v>7.4900208730293405E-2</v>
      </c>
      <c r="AH29" s="190">
        <v>7.4900208730293405E-2</v>
      </c>
      <c r="AI29" s="190">
        <v>7.4883982035837293E-2</v>
      </c>
      <c r="AJ29" s="190">
        <v>3.2329682758094599E-2</v>
      </c>
      <c r="AK29" s="190">
        <v>3.2340869441873699E-2</v>
      </c>
      <c r="AL29" s="190">
        <v>3.2340869441882698E-2</v>
      </c>
      <c r="AM29" s="190">
        <v>3.6822870597836198E-2</v>
      </c>
      <c r="AN29" s="190">
        <v>3.6831788008797002E-2</v>
      </c>
      <c r="AO29" s="190">
        <v>3.6831788008797002E-2</v>
      </c>
      <c r="AP29" s="190">
        <v>3.6822870597836198E-2</v>
      </c>
      <c r="AQ29" s="190">
        <v>4.4476559666372501E-4</v>
      </c>
      <c r="AR29" s="190">
        <v>4.4476559666372501E-4</v>
      </c>
      <c r="AS29" s="190">
        <v>6.4448441188227004E-28</v>
      </c>
      <c r="AT29" s="190">
        <v>5.9280667960380105E-4</v>
      </c>
      <c r="AU29" s="190">
        <v>5.3666664569375399E-4</v>
      </c>
      <c r="AV29" s="190">
        <v>5.3666664569587902E-4</v>
      </c>
      <c r="AW29" s="190">
        <v>5.3666664569375399E-4</v>
      </c>
      <c r="AX29" s="190">
        <v>5.3666664569375399E-4</v>
      </c>
      <c r="AY29" s="190">
        <v>5.3666664569250401E-4</v>
      </c>
      <c r="AZ29" s="190">
        <v>5.3666664569375399E-4</v>
      </c>
      <c r="BA29" s="190">
        <v>2.3464326006258798E-24</v>
      </c>
      <c r="BB29" s="190">
        <v>0</v>
      </c>
      <c r="BC29" s="190">
        <v>0</v>
      </c>
      <c r="BD29" s="190">
        <v>0</v>
      </c>
      <c r="BE29" s="190">
        <v>1.15510988301714E-3</v>
      </c>
      <c r="BF29" s="190">
        <v>3.6822870597836198E-2</v>
      </c>
      <c r="BG29" s="190">
        <v>1.7716745908968299E-2</v>
      </c>
      <c r="BH29" s="190">
        <v>7.9008865107598095E-2</v>
      </c>
      <c r="BI29" s="190">
        <v>7.9008865106698703E-2</v>
      </c>
      <c r="BJ29" s="190">
        <v>7.9008865106698703E-2</v>
      </c>
      <c r="BK29" s="190">
        <v>7.9008865107598095E-2</v>
      </c>
      <c r="BL29" s="190">
        <v>7.9008865107597998E-2</v>
      </c>
      <c r="BM29" s="190">
        <v>7.9008865107403806E-2</v>
      </c>
      <c r="BN29" s="190">
        <v>7.9008865107597998E-2</v>
      </c>
      <c r="BO29" s="190">
        <v>9.3936330472835098E-6</v>
      </c>
      <c r="BP29" s="190">
        <v>5.9915745285786297E-6</v>
      </c>
      <c r="BQ29" s="190">
        <v>8.2969270407670007E-2</v>
      </c>
      <c r="BR29" s="190">
        <v>8.2969270407670007E-2</v>
      </c>
      <c r="BS29" s="190">
        <v>8.2969270407034307E-2</v>
      </c>
      <c r="BT29" s="190">
        <v>8.2969270407670007E-2</v>
      </c>
      <c r="BU29" s="190">
        <v>8.6738282024203806E-2</v>
      </c>
      <c r="BV29" s="190">
        <v>8.6764505229060998E-2</v>
      </c>
      <c r="BW29" s="190">
        <v>8.6713180576995993E-2</v>
      </c>
      <c r="BX29" s="190">
        <v>8.6719267848278894E-2</v>
      </c>
      <c r="BY29" s="190">
        <v>5.96500885208522E-3</v>
      </c>
      <c r="BZ29" s="190">
        <v>2.0291588701847899E-2</v>
      </c>
      <c r="CA29" s="190">
        <v>7.3561293930172399E-29</v>
      </c>
      <c r="CB29" s="190">
        <v>0</v>
      </c>
      <c r="CC29" s="191">
        <v>0</v>
      </c>
    </row>
    <row r="30" spans="1:107">
      <c r="A30" s="121" t="s">
        <v>157</v>
      </c>
      <c r="B30" s="67"/>
      <c r="C30" s="190">
        <v>2.3234028979227099E-2</v>
      </c>
      <c r="D30" s="190">
        <v>2.3234028979227099E-2</v>
      </c>
      <c r="E30" s="190">
        <v>2.3234028979227099E-2</v>
      </c>
      <c r="F30" s="190">
        <v>0</v>
      </c>
      <c r="G30" s="190">
        <v>2.3234028979227099E-2</v>
      </c>
      <c r="H30" s="190">
        <v>2.3234028979227099E-2</v>
      </c>
      <c r="I30" s="190">
        <v>1</v>
      </c>
      <c r="J30" s="190">
        <f t="shared" si="0"/>
        <v>0</v>
      </c>
      <c r="K30" s="190">
        <v>0</v>
      </c>
      <c r="L30" s="190">
        <v>0</v>
      </c>
      <c r="M30" s="190">
        <v>0</v>
      </c>
      <c r="N30" s="190">
        <v>0</v>
      </c>
      <c r="O30" s="190">
        <v>5.8536983320810598E-3</v>
      </c>
      <c r="P30" s="190">
        <v>5.8536983320810598E-3</v>
      </c>
      <c r="Q30" s="190">
        <v>5.8536983320810598E-3</v>
      </c>
      <c r="R30" s="190">
        <v>0.16283222617897</v>
      </c>
      <c r="S30" s="190">
        <v>0.16085542897336799</v>
      </c>
      <c r="T30" s="190">
        <v>0.16085542897336799</v>
      </c>
      <c r="U30" s="190">
        <v>0.16085542897336799</v>
      </c>
      <c r="V30" s="190">
        <v>0.16085542897336799</v>
      </c>
      <c r="W30" s="190">
        <v>0.16085542897336799</v>
      </c>
      <c r="X30" s="190">
        <v>0.16283222617897</v>
      </c>
      <c r="Y30" s="190">
        <v>0.99957229639096701</v>
      </c>
      <c r="Z30" s="190">
        <v>7.1282901320448098E-3</v>
      </c>
      <c r="AA30" s="190">
        <v>7.1282901320448098E-3</v>
      </c>
      <c r="AB30" s="190">
        <v>7.1282901320448098E-3</v>
      </c>
      <c r="AC30" s="190">
        <v>0.99909787787295501</v>
      </c>
      <c r="AD30" s="190">
        <v>3.43215152179348E-3</v>
      </c>
      <c r="AE30" s="190">
        <v>3.43215152179348E-3</v>
      </c>
      <c r="AF30" s="190">
        <v>1.86532853306525E-3</v>
      </c>
      <c r="AG30" s="190">
        <v>1.8653285330288399E-3</v>
      </c>
      <c r="AH30" s="190">
        <v>1.8653285330288399E-3</v>
      </c>
      <c r="AI30" s="190">
        <v>1.86530508483455E-3</v>
      </c>
      <c r="AJ30" s="190">
        <v>3.3555629712828799E-2</v>
      </c>
      <c r="AK30" s="190">
        <v>3.35554744197041E-2</v>
      </c>
      <c r="AL30" s="190">
        <v>3.3555474419569499E-2</v>
      </c>
      <c r="AM30" s="190">
        <v>1.23102805416759E-3</v>
      </c>
      <c r="AN30" s="190">
        <v>1.23096262604468E-3</v>
      </c>
      <c r="AO30" s="190">
        <v>1.23096262604468E-3</v>
      </c>
      <c r="AP30" s="190">
        <v>1.23102805416759E-3</v>
      </c>
      <c r="AQ30" s="190">
        <v>0.263591983143032</v>
      </c>
      <c r="AR30" s="190">
        <v>0.263591983143032</v>
      </c>
      <c r="AS30" s="190">
        <v>0.99994228066296897</v>
      </c>
      <c r="AT30" s="190">
        <v>1.8496372588156E-2</v>
      </c>
      <c r="AU30" s="190">
        <v>1.8565432085129199E-2</v>
      </c>
      <c r="AV30" s="190">
        <v>1.8565432085315501E-2</v>
      </c>
      <c r="AW30" s="190">
        <v>1.8565432085129199E-2</v>
      </c>
      <c r="AX30" s="190">
        <v>0.44203950321198698</v>
      </c>
      <c r="AY30" s="190">
        <v>0.44203950321062502</v>
      </c>
      <c r="AZ30" s="190">
        <v>0.44203950321198698</v>
      </c>
      <c r="BA30" s="190">
        <v>0.82562823558971499</v>
      </c>
      <c r="BB30" s="190">
        <v>0.99891673186719798</v>
      </c>
      <c r="BC30" s="190">
        <v>1.9225601415508199E-2</v>
      </c>
      <c r="BD30" s="190">
        <v>1.9225601415508199E-2</v>
      </c>
      <c r="BE30" s="190">
        <v>8.4521786383396797E-13</v>
      </c>
      <c r="BF30" s="190">
        <v>1.23102805416759E-3</v>
      </c>
      <c r="BG30" s="190">
        <v>5.7160410910059496E-4</v>
      </c>
      <c r="BH30" s="190">
        <v>6.3911285840488301E-5</v>
      </c>
      <c r="BI30" s="190">
        <v>6.3911285839961094E-5</v>
      </c>
      <c r="BJ30" s="190">
        <v>6.3911285839961094E-5</v>
      </c>
      <c r="BK30" s="190">
        <v>6.3911285840488301E-5</v>
      </c>
      <c r="BL30" s="190">
        <v>5.1718982635659702E-2</v>
      </c>
      <c r="BM30" s="190">
        <v>5.1718982635296798E-2</v>
      </c>
      <c r="BN30" s="190">
        <v>5.1718982635659702E-2</v>
      </c>
      <c r="BO30" s="190">
        <v>0.99891754192631899</v>
      </c>
      <c r="BP30" s="190">
        <v>0.99932799781838899</v>
      </c>
      <c r="BQ30" s="190">
        <v>4.2339789461888098E-3</v>
      </c>
      <c r="BR30" s="190">
        <v>4.2339789461888098E-3</v>
      </c>
      <c r="BS30" s="190">
        <v>4.2339789461710697E-3</v>
      </c>
      <c r="BT30" s="190">
        <v>4.2339789461888098E-3</v>
      </c>
      <c r="BU30" s="190">
        <v>9.49130453724685E-8</v>
      </c>
      <c r="BV30" s="190">
        <v>9.4911712029370296E-8</v>
      </c>
      <c r="BW30" s="190">
        <v>9.5158692569227905E-8</v>
      </c>
      <c r="BX30" s="190">
        <v>9.5095545620277897E-8</v>
      </c>
      <c r="BY30" s="190">
        <v>9.07359976878261E-2</v>
      </c>
      <c r="BZ30" s="190">
        <v>3.9835842509065301E-56</v>
      </c>
      <c r="CA30" s="190">
        <v>0.12863296070164801</v>
      </c>
      <c r="CB30" s="190">
        <v>0.49703518781921002</v>
      </c>
      <c r="CC30" s="191">
        <v>2.8888231294918799E-3</v>
      </c>
      <c r="CD30" s="181"/>
      <c r="CJ30" s="181"/>
      <c r="CN30" s="181"/>
      <c r="DA30" s="181"/>
    </row>
    <row r="31" spans="1:107">
      <c r="A31" s="121" t="s">
        <v>159</v>
      </c>
      <c r="B31" s="67"/>
      <c r="C31" s="190">
        <v>0</v>
      </c>
      <c r="D31" s="190">
        <v>0</v>
      </c>
      <c r="E31" s="190">
        <v>0</v>
      </c>
      <c r="F31" s="190">
        <v>0</v>
      </c>
      <c r="G31" s="190">
        <v>0</v>
      </c>
      <c r="H31" s="190">
        <v>0</v>
      </c>
      <c r="I31" s="190"/>
      <c r="J31" s="190">
        <f t="shared" si="0"/>
        <v>0</v>
      </c>
      <c r="K31" s="190">
        <v>0</v>
      </c>
      <c r="L31" s="190">
        <v>0</v>
      </c>
      <c r="M31" s="190">
        <v>0</v>
      </c>
      <c r="N31" s="190">
        <v>0</v>
      </c>
      <c r="O31" s="190">
        <v>0</v>
      </c>
      <c r="P31" s="190">
        <v>0</v>
      </c>
      <c r="Q31" s="190">
        <v>0</v>
      </c>
      <c r="R31" s="190">
        <v>0</v>
      </c>
      <c r="S31" s="190">
        <v>0</v>
      </c>
      <c r="T31" s="190">
        <v>0</v>
      </c>
      <c r="U31" s="190">
        <v>0</v>
      </c>
      <c r="V31" s="190">
        <v>0</v>
      </c>
      <c r="W31" s="190">
        <v>0</v>
      </c>
      <c r="X31" s="190">
        <v>0</v>
      </c>
      <c r="Y31" s="190">
        <v>0</v>
      </c>
      <c r="Z31" s="190">
        <v>0</v>
      </c>
      <c r="AA31" s="190">
        <v>0</v>
      </c>
      <c r="AB31" s="190">
        <v>0</v>
      </c>
      <c r="AC31" s="190">
        <v>0</v>
      </c>
      <c r="AD31" s="190">
        <v>0</v>
      </c>
      <c r="AE31" s="190">
        <v>0</v>
      </c>
      <c r="AF31" s="190">
        <v>4.86677770515605E-3</v>
      </c>
      <c r="AG31" s="190">
        <v>4.8667777051917896E-3</v>
      </c>
      <c r="AH31" s="190">
        <v>4.8667777051917896E-3</v>
      </c>
      <c r="AI31" s="190">
        <v>4.8667406196842896E-3</v>
      </c>
      <c r="AJ31" s="190">
        <v>9.2654283672286702E-2</v>
      </c>
      <c r="AK31" s="190">
        <v>9.2663406956252206E-2</v>
      </c>
      <c r="AL31" s="190">
        <v>9.2663406956683805E-2</v>
      </c>
      <c r="AM31" s="190">
        <v>6.8369424065568597E-3</v>
      </c>
      <c r="AN31" s="190">
        <v>6.83720951232828E-3</v>
      </c>
      <c r="AO31" s="190">
        <v>6.83720951232828E-3</v>
      </c>
      <c r="AP31" s="190">
        <v>6.8369424065568597E-3</v>
      </c>
      <c r="AQ31" s="190">
        <v>0.70344634312851995</v>
      </c>
      <c r="AR31" s="190">
        <v>0.70344634312851995</v>
      </c>
      <c r="AS31" s="190">
        <v>5.7716093819361E-5</v>
      </c>
      <c r="AT31" s="190">
        <v>0.93757059836555701</v>
      </c>
      <c r="AU31" s="190">
        <v>0.94105349139301597</v>
      </c>
      <c r="AV31" s="190">
        <v>0.94105349139261796</v>
      </c>
      <c r="AW31" s="190">
        <v>0.94105349139301597</v>
      </c>
      <c r="AX31" s="190">
        <v>9.4105349139301603E-2</v>
      </c>
      <c r="AY31" s="190">
        <v>9.4105349138669803E-2</v>
      </c>
      <c r="AZ31" s="190">
        <v>9.4105349139301603E-2</v>
      </c>
      <c r="BA31" s="190">
        <v>0.17303720921652199</v>
      </c>
      <c r="BB31" s="190">
        <v>8.4238539656630797E-4</v>
      </c>
      <c r="BC31" s="190">
        <v>0.97434795860605405</v>
      </c>
      <c r="BD31" s="190">
        <v>0.97434795860605405</v>
      </c>
      <c r="BE31" s="190">
        <v>3.1459510365754598E-3</v>
      </c>
      <c r="BF31" s="190">
        <v>6.8369424065568597E-3</v>
      </c>
      <c r="BG31" s="190">
        <v>4.8597916147186601E-3</v>
      </c>
      <c r="BH31" s="190">
        <v>5.4265655747973596E-4</v>
      </c>
      <c r="BI31" s="190">
        <v>5.4265655747633905E-4</v>
      </c>
      <c r="BJ31" s="190">
        <v>5.4265655747633905E-4</v>
      </c>
      <c r="BK31" s="190">
        <v>5.4265655747973596E-4</v>
      </c>
      <c r="BL31" s="190">
        <v>0</v>
      </c>
      <c r="BM31" s="190">
        <v>0</v>
      </c>
      <c r="BN31" s="190">
        <v>0</v>
      </c>
      <c r="BO31" s="190">
        <v>0</v>
      </c>
      <c r="BP31" s="190">
        <v>2.2283394150506201E-4</v>
      </c>
      <c r="BQ31" s="190">
        <v>0</v>
      </c>
      <c r="BR31" s="190">
        <v>0</v>
      </c>
      <c r="BS31" s="190">
        <v>0</v>
      </c>
      <c r="BT31" s="190">
        <v>0</v>
      </c>
      <c r="BU31" s="190">
        <v>0</v>
      </c>
      <c r="BV31" s="190">
        <v>0</v>
      </c>
      <c r="BW31" s="190">
        <v>0</v>
      </c>
      <c r="BX31" s="190">
        <v>0</v>
      </c>
      <c r="BY31" s="190">
        <v>0</v>
      </c>
      <c r="BZ31" s="190">
        <v>0</v>
      </c>
      <c r="CA31" s="190">
        <v>0</v>
      </c>
      <c r="CB31" s="190">
        <v>0</v>
      </c>
      <c r="CC31" s="191">
        <v>0</v>
      </c>
    </row>
    <row r="32" spans="1:107">
      <c r="A32" s="121" t="s">
        <v>160</v>
      </c>
      <c r="B32" s="67"/>
      <c r="C32" s="190">
        <v>0</v>
      </c>
      <c r="D32" s="190">
        <v>0</v>
      </c>
      <c r="E32" s="190">
        <v>0</v>
      </c>
      <c r="F32" s="190">
        <v>0</v>
      </c>
      <c r="G32" s="190">
        <v>0</v>
      </c>
      <c r="H32" s="190">
        <v>0</v>
      </c>
      <c r="I32" s="190"/>
      <c r="J32" s="190">
        <f t="shared" si="0"/>
        <v>0</v>
      </c>
      <c r="K32" s="190">
        <v>0</v>
      </c>
      <c r="L32" s="190">
        <v>0</v>
      </c>
      <c r="M32" s="190">
        <v>0</v>
      </c>
      <c r="N32" s="190">
        <v>0</v>
      </c>
      <c r="O32" s="190">
        <v>0</v>
      </c>
      <c r="P32" s="190">
        <v>0</v>
      </c>
      <c r="Q32" s="190">
        <v>0</v>
      </c>
      <c r="R32" s="190">
        <v>0</v>
      </c>
      <c r="S32" s="190">
        <v>0</v>
      </c>
      <c r="T32" s="190">
        <v>0</v>
      </c>
      <c r="U32" s="190">
        <v>0</v>
      </c>
      <c r="V32" s="190">
        <v>0</v>
      </c>
      <c r="W32" s="190">
        <v>0</v>
      </c>
      <c r="X32" s="190">
        <v>0</v>
      </c>
      <c r="Y32" s="190">
        <v>0</v>
      </c>
      <c r="Z32" s="190">
        <v>0</v>
      </c>
      <c r="AA32" s="190">
        <v>0</v>
      </c>
      <c r="AB32" s="190">
        <v>0</v>
      </c>
      <c r="AC32" s="190">
        <v>0</v>
      </c>
      <c r="AD32" s="190">
        <v>0</v>
      </c>
      <c r="AE32" s="190">
        <v>0</v>
      </c>
      <c r="AF32" s="190">
        <v>0</v>
      </c>
      <c r="AG32" s="190">
        <v>0</v>
      </c>
      <c r="AH32" s="190">
        <v>0</v>
      </c>
      <c r="AI32" s="190">
        <v>0</v>
      </c>
      <c r="AJ32" s="190">
        <v>0</v>
      </c>
      <c r="AK32" s="190">
        <v>0</v>
      </c>
      <c r="AL32" s="190">
        <v>0</v>
      </c>
      <c r="AM32" s="190">
        <v>0</v>
      </c>
      <c r="AN32" s="190">
        <v>0</v>
      </c>
      <c r="AO32" s="190">
        <v>0</v>
      </c>
      <c r="AP32" s="190">
        <v>0</v>
      </c>
      <c r="AQ32" s="190">
        <v>0</v>
      </c>
      <c r="AR32" s="190">
        <v>0</v>
      </c>
      <c r="AS32" s="190">
        <v>0</v>
      </c>
      <c r="AT32" s="190">
        <v>0</v>
      </c>
      <c r="AU32" s="190">
        <v>6.02223870177611E-4</v>
      </c>
      <c r="AV32" s="190">
        <v>6.0222387017812903E-4</v>
      </c>
      <c r="AW32" s="190">
        <v>6.02223870177611E-4</v>
      </c>
      <c r="AX32" s="190">
        <v>0.42407629499703497</v>
      </c>
      <c r="AY32" s="190">
        <v>0.42407629499906602</v>
      </c>
      <c r="AZ32" s="190">
        <v>0.42407629499703497</v>
      </c>
      <c r="BA32" s="190">
        <v>1.32263220710673E-3</v>
      </c>
      <c r="BB32" s="190">
        <v>2.40871466583178E-4</v>
      </c>
      <c r="BC32" s="190">
        <v>6.3591399575954298E-3</v>
      </c>
      <c r="BD32" s="190">
        <v>6.3591399575954298E-3</v>
      </c>
      <c r="BE32" s="190">
        <v>0.91124863168687198</v>
      </c>
      <c r="BF32" s="190">
        <v>0</v>
      </c>
      <c r="BG32" s="190">
        <v>0.48812792366682201</v>
      </c>
      <c r="BH32" s="190">
        <v>5.68217195780149E-2</v>
      </c>
      <c r="BI32" s="190">
        <v>5.68217195771233E-2</v>
      </c>
      <c r="BJ32" s="190">
        <v>5.68217195771233E-2</v>
      </c>
      <c r="BK32" s="190">
        <v>5.68217195780149E-2</v>
      </c>
      <c r="BL32" s="190">
        <v>5.7093047856754797E-3</v>
      </c>
      <c r="BM32" s="190">
        <v>5.7093047857195399E-3</v>
      </c>
      <c r="BN32" s="190">
        <v>5.7093047856754797E-3</v>
      </c>
      <c r="BO32" s="190">
        <v>2.8480247975529601E-5</v>
      </c>
      <c r="BP32" s="190">
        <v>6.6921024659621098E-5</v>
      </c>
      <c r="BQ32" s="190">
        <v>5.9940961543763901E-3</v>
      </c>
      <c r="BR32" s="190">
        <v>5.9940961543763901E-3</v>
      </c>
      <c r="BS32" s="190">
        <v>5.9940961543691797E-3</v>
      </c>
      <c r="BT32" s="190">
        <v>5.9940961543763901E-3</v>
      </c>
      <c r="BU32" s="190">
        <v>2.6062912987670299E-3</v>
      </c>
      <c r="BV32" s="190">
        <v>2.60776273182957E-3</v>
      </c>
      <c r="BW32" s="190">
        <v>2.6072609550375401E-3</v>
      </c>
      <c r="BX32" s="190">
        <v>2.6060220525113802E-3</v>
      </c>
      <c r="BY32" s="190">
        <v>7.5209964329373297E-2</v>
      </c>
      <c r="BZ32" s="190">
        <v>9.1899261603768303E-8</v>
      </c>
      <c r="CA32" s="190">
        <v>0.106609188000925</v>
      </c>
      <c r="CB32" s="190">
        <v>8.2782203273790405E-8</v>
      </c>
      <c r="CC32" s="191">
        <v>0.14299732305090701</v>
      </c>
      <c r="CJ32" s="181"/>
      <c r="CM32" s="181"/>
      <c r="CX32" s="181"/>
      <c r="CY32" s="181"/>
    </row>
    <row r="33" spans="1:110">
      <c r="A33" s="121" t="s">
        <v>161</v>
      </c>
      <c r="B33" s="67"/>
      <c r="C33" s="190">
        <v>0</v>
      </c>
      <c r="D33" s="190">
        <v>0</v>
      </c>
      <c r="E33" s="190">
        <v>0</v>
      </c>
      <c r="F33" s="190">
        <v>0</v>
      </c>
      <c r="G33" s="190">
        <v>0</v>
      </c>
      <c r="H33" s="190">
        <v>0</v>
      </c>
      <c r="I33" s="190"/>
      <c r="J33" s="190">
        <f t="shared" si="0"/>
        <v>0</v>
      </c>
      <c r="K33" s="190">
        <v>0</v>
      </c>
      <c r="L33" s="190">
        <v>0</v>
      </c>
      <c r="M33" s="190">
        <v>0</v>
      </c>
      <c r="N33" s="190">
        <v>0</v>
      </c>
      <c r="O33" s="190">
        <v>0</v>
      </c>
      <c r="P33" s="190">
        <v>0</v>
      </c>
      <c r="Q33" s="190">
        <v>0</v>
      </c>
      <c r="R33" s="190">
        <v>0</v>
      </c>
      <c r="S33" s="190">
        <v>0</v>
      </c>
      <c r="T33" s="190">
        <v>0</v>
      </c>
      <c r="U33" s="190">
        <v>0</v>
      </c>
      <c r="V33" s="190">
        <v>0</v>
      </c>
      <c r="W33" s="190">
        <v>0</v>
      </c>
      <c r="X33" s="190">
        <v>0</v>
      </c>
      <c r="Y33" s="190">
        <v>0</v>
      </c>
      <c r="Z33" s="190">
        <v>0</v>
      </c>
      <c r="AA33" s="190">
        <v>0</v>
      </c>
      <c r="AB33" s="190">
        <v>0</v>
      </c>
      <c r="AC33" s="190">
        <v>0</v>
      </c>
      <c r="AD33" s="190">
        <v>0</v>
      </c>
      <c r="AE33" s="190">
        <v>0</v>
      </c>
      <c r="AF33" s="190">
        <v>0</v>
      </c>
      <c r="AG33" s="190">
        <v>0</v>
      </c>
      <c r="AH33" s="190">
        <v>0</v>
      </c>
      <c r="AI33" s="190">
        <v>0</v>
      </c>
      <c r="AJ33" s="190">
        <v>0</v>
      </c>
      <c r="AK33" s="190">
        <v>0</v>
      </c>
      <c r="AL33" s="190">
        <v>0</v>
      </c>
      <c r="AM33" s="190">
        <v>0</v>
      </c>
      <c r="AN33" s="190">
        <v>0</v>
      </c>
      <c r="AO33" s="190">
        <v>0</v>
      </c>
      <c r="AP33" s="190">
        <v>0</v>
      </c>
      <c r="AQ33" s="190">
        <v>0</v>
      </c>
      <c r="AR33" s="190">
        <v>0</v>
      </c>
      <c r="AS33" s="190">
        <v>0</v>
      </c>
      <c r="AT33" s="190">
        <v>0</v>
      </c>
      <c r="AU33" s="190">
        <v>0</v>
      </c>
      <c r="AV33" s="190">
        <v>0</v>
      </c>
      <c r="AW33" s="190">
        <v>0</v>
      </c>
      <c r="AX33" s="190">
        <v>0</v>
      </c>
      <c r="AY33" s="190">
        <v>0</v>
      </c>
      <c r="AZ33" s="190">
        <v>0</v>
      </c>
      <c r="BA33" s="190">
        <v>0</v>
      </c>
      <c r="BB33" s="190">
        <v>0</v>
      </c>
      <c r="BC33" s="190">
        <v>0</v>
      </c>
      <c r="BD33" s="190">
        <v>0</v>
      </c>
      <c r="BE33" s="190">
        <v>0</v>
      </c>
      <c r="BF33" s="190">
        <v>0</v>
      </c>
      <c r="BG33" s="190">
        <v>0</v>
      </c>
      <c r="BH33" s="190">
        <v>3.4598146005292E-3</v>
      </c>
      <c r="BI33" s="190">
        <v>3.4598146004589099E-3</v>
      </c>
      <c r="BJ33" s="190">
        <v>3.4598146004589099E-3</v>
      </c>
      <c r="BK33" s="190">
        <v>3.4598146005292E-3</v>
      </c>
      <c r="BL33" s="190">
        <v>1.99026123832746E-2</v>
      </c>
      <c r="BM33" s="190">
        <v>1.9902612383085602E-2</v>
      </c>
      <c r="BN33" s="190">
        <v>1.99026123832746E-2</v>
      </c>
      <c r="BO33" s="190">
        <v>2.79653762618896E-5</v>
      </c>
      <c r="BP33" s="190">
        <v>5.9459023299405602E-6</v>
      </c>
      <c r="BQ33" s="190">
        <v>2.0898969142053501E-2</v>
      </c>
      <c r="BR33" s="190">
        <v>2.0898969142053501E-2</v>
      </c>
      <c r="BS33" s="190">
        <v>2.08989691419409E-2</v>
      </c>
      <c r="BT33" s="190">
        <v>2.0898969142053501E-2</v>
      </c>
      <c r="BU33" s="190">
        <v>3.8918542113419801E-3</v>
      </c>
      <c r="BV33" s="190">
        <v>3.89226621611728E-3</v>
      </c>
      <c r="BW33" s="190">
        <v>3.8947074300905902E-3</v>
      </c>
      <c r="BX33" s="190">
        <v>3.8915529283513198E-3</v>
      </c>
      <c r="BY33" s="190">
        <v>0.368369462648232</v>
      </c>
      <c r="BZ33" s="190">
        <v>4.9076902993926899E-13</v>
      </c>
      <c r="CA33" s="190">
        <v>0.52220090771650296</v>
      </c>
      <c r="CB33" s="190">
        <v>5.1214553653986796E-3</v>
      </c>
      <c r="CC33" s="191">
        <v>0.69869199546289795</v>
      </c>
      <c r="CJ33" s="181"/>
    </row>
    <row r="34" spans="1:110">
      <c r="A34" s="121" t="s">
        <v>162</v>
      </c>
      <c r="B34" s="67"/>
      <c r="C34" s="190">
        <v>0</v>
      </c>
      <c r="D34" s="190">
        <v>0</v>
      </c>
      <c r="E34" s="190">
        <v>0</v>
      </c>
      <c r="F34" s="190">
        <v>0</v>
      </c>
      <c r="G34" s="190">
        <v>0</v>
      </c>
      <c r="H34" s="190">
        <v>0</v>
      </c>
      <c r="I34" s="190"/>
      <c r="J34" s="190">
        <f>K20/J12</f>
        <v>0.33333333333333259</v>
      </c>
      <c r="K34" s="190">
        <v>1</v>
      </c>
      <c r="L34" s="190">
        <v>0</v>
      </c>
      <c r="M34" s="190">
        <v>0</v>
      </c>
      <c r="N34" s="190">
        <v>0</v>
      </c>
      <c r="O34" s="190">
        <v>0</v>
      </c>
      <c r="P34" s="190">
        <v>0</v>
      </c>
      <c r="Q34" s="190">
        <v>0</v>
      </c>
      <c r="R34" s="190">
        <v>0</v>
      </c>
      <c r="S34" s="190">
        <v>0</v>
      </c>
      <c r="T34" s="190">
        <v>0</v>
      </c>
      <c r="U34" s="190">
        <v>0</v>
      </c>
      <c r="V34" s="190">
        <v>0</v>
      </c>
      <c r="W34" s="190">
        <v>0</v>
      </c>
      <c r="X34" s="190">
        <v>0</v>
      </c>
      <c r="Y34" s="190">
        <v>0</v>
      </c>
      <c r="Z34" s="190">
        <v>0</v>
      </c>
      <c r="AA34" s="190">
        <v>0</v>
      </c>
      <c r="AB34" s="190">
        <v>0</v>
      </c>
      <c r="AC34" s="190">
        <v>0</v>
      </c>
      <c r="AD34" s="190">
        <v>0</v>
      </c>
      <c r="AE34" s="190">
        <v>0</v>
      </c>
      <c r="AF34" s="190">
        <v>0</v>
      </c>
      <c r="AG34" s="190">
        <v>0</v>
      </c>
      <c r="AH34" s="190">
        <v>0</v>
      </c>
      <c r="AI34" s="190">
        <v>0</v>
      </c>
      <c r="AJ34" s="190">
        <v>0</v>
      </c>
      <c r="AK34" s="190">
        <v>0</v>
      </c>
      <c r="AL34" s="190">
        <v>0</v>
      </c>
      <c r="AM34" s="190">
        <v>0</v>
      </c>
      <c r="AN34" s="190">
        <v>0</v>
      </c>
      <c r="AO34" s="190">
        <v>0</v>
      </c>
      <c r="AP34" s="190">
        <v>0</v>
      </c>
      <c r="AQ34" s="190">
        <v>0</v>
      </c>
      <c r="AR34" s="190">
        <v>0</v>
      </c>
      <c r="AS34" s="190">
        <v>0</v>
      </c>
      <c r="AT34" s="190">
        <v>0</v>
      </c>
      <c r="AU34" s="190">
        <v>0</v>
      </c>
      <c r="AV34" s="190">
        <v>0</v>
      </c>
      <c r="AW34" s="190">
        <v>0</v>
      </c>
      <c r="AX34" s="190">
        <v>0</v>
      </c>
      <c r="AY34" s="190">
        <v>0</v>
      </c>
      <c r="AZ34" s="190">
        <v>0</v>
      </c>
      <c r="BA34" s="190">
        <v>0</v>
      </c>
      <c r="BB34" s="190">
        <v>0</v>
      </c>
      <c r="BC34" s="190">
        <v>0</v>
      </c>
      <c r="BD34" s="190">
        <v>0</v>
      </c>
      <c r="BE34" s="190">
        <v>0</v>
      </c>
      <c r="BF34" s="190">
        <v>0</v>
      </c>
      <c r="BG34" s="190">
        <v>0</v>
      </c>
      <c r="BH34" s="190">
        <v>0</v>
      </c>
      <c r="BI34" s="190">
        <v>0</v>
      </c>
      <c r="BJ34" s="190">
        <v>0</v>
      </c>
      <c r="BK34" s="190">
        <v>0</v>
      </c>
      <c r="BL34" s="190">
        <v>0</v>
      </c>
      <c r="BM34" s="190">
        <v>0</v>
      </c>
      <c r="BN34" s="190">
        <v>0</v>
      </c>
      <c r="BO34" s="190">
        <v>0</v>
      </c>
      <c r="BP34" s="190">
        <v>0</v>
      </c>
      <c r="BQ34" s="190">
        <v>0</v>
      </c>
      <c r="BR34" s="190">
        <v>0</v>
      </c>
      <c r="BS34" s="190">
        <v>0</v>
      </c>
      <c r="BT34" s="190">
        <v>0</v>
      </c>
      <c r="BU34" s="190">
        <v>0</v>
      </c>
      <c r="BV34" s="190">
        <v>0</v>
      </c>
      <c r="BW34" s="190">
        <v>0</v>
      </c>
      <c r="BX34" s="190">
        <v>0</v>
      </c>
      <c r="BY34" s="190">
        <v>0</v>
      </c>
      <c r="BZ34" s="190">
        <v>0</v>
      </c>
      <c r="CA34" s="190">
        <v>0</v>
      </c>
      <c r="CB34" s="190">
        <v>0</v>
      </c>
      <c r="CC34" s="191">
        <v>0</v>
      </c>
    </row>
    <row r="35" spans="1:110">
      <c r="A35" s="121" t="s">
        <v>163</v>
      </c>
      <c r="B35" s="67"/>
      <c r="C35" s="190">
        <v>0</v>
      </c>
      <c r="D35" s="190">
        <v>0</v>
      </c>
      <c r="E35" s="190">
        <v>0</v>
      </c>
      <c r="F35" s="190">
        <v>0</v>
      </c>
      <c r="G35" s="190">
        <v>0</v>
      </c>
      <c r="H35" s="190">
        <v>0</v>
      </c>
      <c r="I35" s="190"/>
      <c r="J35" s="190">
        <f t="shared" si="0"/>
        <v>0</v>
      </c>
      <c r="K35" s="190">
        <v>0</v>
      </c>
      <c r="L35" s="190">
        <v>0</v>
      </c>
      <c r="M35" s="190">
        <v>0</v>
      </c>
      <c r="N35" s="190">
        <v>0</v>
      </c>
      <c r="O35" s="190">
        <v>0</v>
      </c>
      <c r="P35" s="190">
        <v>0</v>
      </c>
      <c r="Q35" s="190">
        <v>0</v>
      </c>
      <c r="R35" s="190">
        <v>7.4682100348689899E-3</v>
      </c>
      <c r="S35" s="190">
        <v>7.5343929883774901E-3</v>
      </c>
      <c r="T35" s="190">
        <v>7.5343929883774901E-3</v>
      </c>
      <c r="U35" s="190">
        <v>7.5343929883774901E-3</v>
      </c>
      <c r="V35" s="190">
        <v>7.5343929883774901E-3</v>
      </c>
      <c r="W35" s="190">
        <v>7.5343929883774901E-3</v>
      </c>
      <c r="X35" s="190">
        <v>7.4682100348689899E-3</v>
      </c>
      <c r="Y35" s="190">
        <v>2.20075984985017E-6</v>
      </c>
      <c r="Z35" s="190">
        <v>8.8575148764416002E-3</v>
      </c>
      <c r="AA35" s="190">
        <v>8.8575148764416002E-3</v>
      </c>
      <c r="AB35" s="190">
        <v>8.8575148764416002E-3</v>
      </c>
      <c r="AC35" s="190">
        <v>4.6685997736408198E-6</v>
      </c>
      <c r="AD35" s="190">
        <v>8.8905011164818106E-3</v>
      </c>
      <c r="AE35" s="190">
        <v>8.8905011164818106E-3</v>
      </c>
      <c r="AF35" s="190">
        <v>5.0006341707465603E-2</v>
      </c>
      <c r="AG35" s="190">
        <v>5.0006341707721502E-2</v>
      </c>
      <c r="AH35" s="190">
        <v>5.0006341707721502E-2</v>
      </c>
      <c r="AI35" s="190">
        <v>5.0009170867580201E-2</v>
      </c>
      <c r="AJ35" s="190">
        <v>5.8704895674435098E-2</v>
      </c>
      <c r="AK35" s="190">
        <v>5.8702473909348699E-2</v>
      </c>
      <c r="AL35" s="190">
        <v>5.8702473909056897E-2</v>
      </c>
      <c r="AM35" s="190">
        <v>6.6653290817632799E-2</v>
      </c>
      <c r="AN35" s="190">
        <v>6.6653076978169704E-2</v>
      </c>
      <c r="AO35" s="190">
        <v>6.6653076978169704E-2</v>
      </c>
      <c r="AP35" s="190">
        <v>6.6653290817632799E-2</v>
      </c>
      <c r="AQ35" s="190">
        <v>2.12058717004995E-3</v>
      </c>
      <c r="AR35" s="190">
        <v>2.12058717004995E-3</v>
      </c>
      <c r="AS35" s="190">
        <v>1.5637426197027699E-19</v>
      </c>
      <c r="AT35" s="190">
        <v>2.8264286817988502E-3</v>
      </c>
      <c r="AU35" s="190">
        <v>2.5587599670230201E-3</v>
      </c>
      <c r="AV35" s="190">
        <v>2.5587599670332502E-3</v>
      </c>
      <c r="AW35" s="190">
        <v>2.5587599670230201E-3</v>
      </c>
      <c r="AX35" s="190">
        <v>2.5587599670230201E-3</v>
      </c>
      <c r="AY35" s="190">
        <v>2.5587599670171598E-3</v>
      </c>
      <c r="AZ35" s="190">
        <v>2.5587599670230201E-3</v>
      </c>
      <c r="BA35" s="190">
        <v>1.36822817844561E-15</v>
      </c>
      <c r="BB35" s="190">
        <v>1.0105381658584E-25</v>
      </c>
      <c r="BC35" s="190">
        <v>7.7357272749369405E-15</v>
      </c>
      <c r="BD35" s="190">
        <v>7.7357272749369405E-15</v>
      </c>
      <c r="BE35" s="190">
        <v>5.5074205745640498E-3</v>
      </c>
      <c r="BF35" s="190">
        <v>6.6653290817632799E-2</v>
      </c>
      <c r="BG35" s="190">
        <v>3.3899324836582902E-2</v>
      </c>
      <c r="BH35" s="190">
        <v>0.17921671380082899</v>
      </c>
      <c r="BI35" s="190">
        <v>0.17921671380467299</v>
      </c>
      <c r="BJ35" s="190">
        <v>0.17921671380467299</v>
      </c>
      <c r="BK35" s="190">
        <v>0.17921671380082899</v>
      </c>
      <c r="BL35" s="190">
        <v>0.18075822609296099</v>
      </c>
      <c r="BM35" s="190">
        <v>0.180758226091704</v>
      </c>
      <c r="BN35" s="190">
        <v>0.18075822609296099</v>
      </c>
      <c r="BO35" s="190">
        <v>8.2132875275167197E-5</v>
      </c>
      <c r="BP35" s="190">
        <v>1.8276767391259799E-5</v>
      </c>
      <c r="BQ35" s="190">
        <v>0.18981588868006</v>
      </c>
      <c r="BR35" s="190">
        <v>0.18981588868006</v>
      </c>
      <c r="BS35" s="190">
        <v>0.18981588867892399</v>
      </c>
      <c r="BT35" s="190">
        <v>0.18981588868006</v>
      </c>
      <c r="BU35" s="190">
        <v>0.19752841106560701</v>
      </c>
      <c r="BV35" s="190">
        <v>0.197559642921007</v>
      </c>
      <c r="BW35" s="190">
        <v>0.197482863224404</v>
      </c>
      <c r="BX35" s="190">
        <v>0.197491381716768</v>
      </c>
      <c r="BY35" s="190">
        <v>3.2242192588261297E-2</v>
      </c>
      <c r="BZ35" s="190">
        <v>0.11033553951245299</v>
      </c>
      <c r="CA35" s="190">
        <v>2.0599848557186301E-13</v>
      </c>
      <c r="CB35" s="190">
        <v>3.9032759487242802E-33</v>
      </c>
      <c r="CC35" s="191">
        <v>2.7631049783105801E-13</v>
      </c>
      <c r="CK35" s="181"/>
      <c r="CM35" s="181"/>
      <c r="CZ35" s="181"/>
      <c r="DC35" s="181"/>
    </row>
    <row r="36" spans="1:110">
      <c r="A36" s="121" t="s">
        <v>164</v>
      </c>
      <c r="B36" s="67"/>
      <c r="C36" s="190">
        <v>0</v>
      </c>
      <c r="D36" s="190">
        <v>0</v>
      </c>
      <c r="E36" s="190">
        <v>0</v>
      </c>
      <c r="F36" s="190">
        <v>0</v>
      </c>
      <c r="G36" s="190">
        <v>0</v>
      </c>
      <c r="H36" s="190">
        <v>0</v>
      </c>
      <c r="I36" s="190"/>
      <c r="J36" s="190">
        <f t="shared" si="0"/>
        <v>0</v>
      </c>
      <c r="K36" s="190">
        <v>0</v>
      </c>
      <c r="L36" s="190">
        <v>0</v>
      </c>
      <c r="M36" s="190">
        <v>0</v>
      </c>
      <c r="N36" s="190">
        <v>0</v>
      </c>
      <c r="O36" s="190">
        <v>0</v>
      </c>
      <c r="P36" s="190">
        <v>0</v>
      </c>
      <c r="Q36" s="190">
        <v>0</v>
      </c>
      <c r="R36" s="190">
        <v>0</v>
      </c>
      <c r="S36" s="190">
        <v>0</v>
      </c>
      <c r="T36" s="190">
        <v>0</v>
      </c>
      <c r="U36" s="190">
        <v>0</v>
      </c>
      <c r="V36" s="190">
        <v>0</v>
      </c>
      <c r="W36" s="190">
        <v>0</v>
      </c>
      <c r="X36" s="190">
        <v>0</v>
      </c>
      <c r="Y36" s="190">
        <v>0</v>
      </c>
      <c r="Z36" s="190">
        <v>0</v>
      </c>
      <c r="AA36" s="190">
        <v>0</v>
      </c>
      <c r="AB36" s="190">
        <v>0</v>
      </c>
      <c r="AC36" s="190">
        <v>0</v>
      </c>
      <c r="AD36" s="190">
        <v>0</v>
      </c>
      <c r="AE36" s="190">
        <v>0</v>
      </c>
      <c r="AF36" s="190">
        <v>0</v>
      </c>
      <c r="AG36" s="190">
        <v>0</v>
      </c>
      <c r="AH36" s="190">
        <v>0</v>
      </c>
      <c r="AI36" s="190">
        <v>0</v>
      </c>
      <c r="AJ36" s="190">
        <v>0</v>
      </c>
      <c r="AK36" s="190">
        <v>0</v>
      </c>
      <c r="AL36" s="190">
        <v>0</v>
      </c>
      <c r="AM36" s="190">
        <v>0</v>
      </c>
      <c r="AN36" s="190">
        <v>0</v>
      </c>
      <c r="AO36" s="190">
        <v>0</v>
      </c>
      <c r="AP36" s="190">
        <v>0</v>
      </c>
      <c r="AQ36" s="190">
        <v>0</v>
      </c>
      <c r="AR36" s="190">
        <v>0</v>
      </c>
      <c r="AS36" s="190">
        <v>0</v>
      </c>
      <c r="AT36" s="190">
        <v>0</v>
      </c>
      <c r="AU36" s="190">
        <v>0</v>
      </c>
      <c r="AV36" s="190">
        <v>0</v>
      </c>
      <c r="AW36" s="190">
        <v>0</v>
      </c>
      <c r="AX36" s="190">
        <v>0</v>
      </c>
      <c r="AY36" s="190">
        <v>0</v>
      </c>
      <c r="AZ36" s="190">
        <v>0</v>
      </c>
      <c r="BA36" s="190">
        <v>0</v>
      </c>
      <c r="BB36" s="190">
        <v>0</v>
      </c>
      <c r="BC36" s="190">
        <v>0</v>
      </c>
      <c r="BD36" s="190">
        <v>0</v>
      </c>
      <c r="BE36" s="190">
        <v>0</v>
      </c>
      <c r="BF36" s="190">
        <v>0</v>
      </c>
      <c r="BG36" s="190">
        <v>0</v>
      </c>
      <c r="BH36" s="190">
        <v>1.03791861721074E-2</v>
      </c>
      <c r="BI36" s="190">
        <v>1.0379186171956999E-2</v>
      </c>
      <c r="BJ36" s="190">
        <v>1.0379186171956999E-2</v>
      </c>
      <c r="BK36" s="190">
        <v>1.03791861721074E-2</v>
      </c>
      <c r="BL36" s="190">
        <v>1.2177617179595099E-2</v>
      </c>
      <c r="BM36" s="190">
        <v>1.2177617179155401E-2</v>
      </c>
      <c r="BN36" s="190">
        <v>1.2177617179595099E-2</v>
      </c>
      <c r="BO36" s="190">
        <v>1.6190818808695901E-5</v>
      </c>
      <c r="BP36" s="190">
        <v>3.4424363318673698E-6</v>
      </c>
      <c r="BQ36" s="190">
        <v>1.27872943902991E-2</v>
      </c>
      <c r="BR36" s="190">
        <v>1.27872943902991E-2</v>
      </c>
      <c r="BS36" s="190">
        <v>1.2787294390060299E-2</v>
      </c>
      <c r="BT36" s="190">
        <v>1.27872943902991E-2</v>
      </c>
      <c r="BU36" s="190">
        <v>1.1684023588483E-2</v>
      </c>
      <c r="BV36" s="190">
        <v>1.1685657665540901E-2</v>
      </c>
      <c r="BW36" s="190">
        <v>1.1683832277202599E-2</v>
      </c>
      <c r="BX36" s="190">
        <v>1.16838602641568E-2</v>
      </c>
      <c r="BY36" s="190">
        <v>3.5328098726568599E-2</v>
      </c>
      <c r="BZ36" s="190">
        <v>0.12177818203646</v>
      </c>
      <c r="CA36" s="190">
        <v>1.07753975566579E-4</v>
      </c>
      <c r="CB36" s="190">
        <v>2.55477416270935E-17</v>
      </c>
      <c r="CC36" s="191">
        <v>1.4453288114921E-4</v>
      </c>
      <c r="CM36" s="181"/>
    </row>
    <row r="37" spans="1:110">
      <c r="A37" s="121" t="s">
        <v>165</v>
      </c>
      <c r="B37" s="67"/>
      <c r="C37" s="190">
        <v>0</v>
      </c>
      <c r="D37" s="190">
        <v>0</v>
      </c>
      <c r="E37" s="190">
        <v>0</v>
      </c>
      <c r="F37" s="190">
        <v>0</v>
      </c>
      <c r="G37" s="190">
        <v>0</v>
      </c>
      <c r="H37" s="190">
        <v>0</v>
      </c>
      <c r="I37" s="190"/>
      <c r="J37" s="190">
        <f t="shared" si="0"/>
        <v>0</v>
      </c>
      <c r="K37" s="190">
        <v>0</v>
      </c>
      <c r="L37" s="190">
        <v>0</v>
      </c>
      <c r="M37" s="190">
        <v>0</v>
      </c>
      <c r="N37" s="190">
        <v>0</v>
      </c>
      <c r="O37" s="190">
        <v>0</v>
      </c>
      <c r="P37" s="190">
        <v>0</v>
      </c>
      <c r="Q37" s="190">
        <v>0</v>
      </c>
      <c r="R37" s="190">
        <v>0</v>
      </c>
      <c r="S37" s="190">
        <v>0</v>
      </c>
      <c r="T37" s="190">
        <v>0</v>
      </c>
      <c r="U37" s="190">
        <v>0</v>
      </c>
      <c r="V37" s="190">
        <v>0</v>
      </c>
      <c r="W37" s="190">
        <v>0</v>
      </c>
      <c r="X37" s="190">
        <v>0</v>
      </c>
      <c r="Y37" s="190">
        <v>0</v>
      </c>
      <c r="Z37" s="190">
        <v>0</v>
      </c>
      <c r="AA37" s="190">
        <v>0</v>
      </c>
      <c r="AB37" s="190">
        <v>0</v>
      </c>
      <c r="AC37" s="190">
        <v>0</v>
      </c>
      <c r="AD37" s="190">
        <v>0</v>
      </c>
      <c r="AE37" s="190">
        <v>0</v>
      </c>
      <c r="AF37" s="190">
        <v>0</v>
      </c>
      <c r="AG37" s="190">
        <v>0</v>
      </c>
      <c r="AH37" s="190">
        <v>0</v>
      </c>
      <c r="AI37" s="190">
        <v>0</v>
      </c>
      <c r="AJ37" s="190">
        <v>0</v>
      </c>
      <c r="AK37" s="190">
        <v>0</v>
      </c>
      <c r="AL37" s="190">
        <v>0</v>
      </c>
      <c r="AM37" s="190">
        <v>0</v>
      </c>
      <c r="AN37" s="190">
        <v>0</v>
      </c>
      <c r="AO37" s="190">
        <v>0</v>
      </c>
      <c r="AP37" s="190">
        <v>0</v>
      </c>
      <c r="AQ37" s="190">
        <v>0</v>
      </c>
      <c r="AR37" s="190">
        <v>0</v>
      </c>
      <c r="AS37" s="190">
        <v>0</v>
      </c>
      <c r="AT37" s="190">
        <v>0</v>
      </c>
      <c r="AU37" s="190">
        <v>0</v>
      </c>
      <c r="AV37" s="190">
        <v>0</v>
      </c>
      <c r="AW37" s="190">
        <v>0</v>
      </c>
      <c r="AX37" s="190">
        <v>0</v>
      </c>
      <c r="AY37" s="190">
        <v>0</v>
      </c>
      <c r="AZ37" s="190">
        <v>0</v>
      </c>
      <c r="BA37" s="190">
        <v>0</v>
      </c>
      <c r="BB37" s="190">
        <v>0</v>
      </c>
      <c r="BC37" s="190">
        <v>0</v>
      </c>
      <c r="BD37" s="190">
        <v>0</v>
      </c>
      <c r="BE37" s="190">
        <v>0</v>
      </c>
      <c r="BF37" s="190">
        <v>0</v>
      </c>
      <c r="BG37" s="190">
        <v>0</v>
      </c>
      <c r="BH37" s="190">
        <v>4.9670303177748697E-3</v>
      </c>
      <c r="BI37" s="190">
        <v>4.9670303177769704E-3</v>
      </c>
      <c r="BJ37" s="190">
        <v>4.9670303177769704E-3</v>
      </c>
      <c r="BK37" s="190">
        <v>4.9670303177748697E-3</v>
      </c>
      <c r="BL37" s="190">
        <v>8.7351714763206807E-3</v>
      </c>
      <c r="BM37" s="190">
        <v>8.7351714763404201E-3</v>
      </c>
      <c r="BN37" s="190">
        <v>8.7351714763206807E-3</v>
      </c>
      <c r="BO37" s="190">
        <v>1.0855905956768399E-5</v>
      </c>
      <c r="BP37" s="190">
        <v>2.30814546950792E-6</v>
      </c>
      <c r="BQ37" s="190">
        <v>9.1725392837179905E-3</v>
      </c>
      <c r="BR37" s="190">
        <v>9.1725392837179905E-3</v>
      </c>
      <c r="BS37" s="190">
        <v>9.1725392836878201E-3</v>
      </c>
      <c r="BT37" s="190">
        <v>9.1725392837179905E-3</v>
      </c>
      <c r="BU37" s="190">
        <v>5.5889183128077502E-3</v>
      </c>
      <c r="BV37" s="190">
        <v>5.5866312488948196E-3</v>
      </c>
      <c r="BW37" s="190">
        <v>5.5913776076799201E-3</v>
      </c>
      <c r="BX37" s="190">
        <v>5.5885084133146202E-3</v>
      </c>
      <c r="BY37" s="190">
        <v>8.2389104960740395E-2</v>
      </c>
      <c r="BZ37" s="190">
        <v>2.45316164292922E-3</v>
      </c>
      <c r="CA37" s="190">
        <v>0.115762061758132</v>
      </c>
      <c r="CB37" s="190">
        <v>9.0041953407785899E-9</v>
      </c>
      <c r="CC37" s="191">
        <v>0.15527430792726701</v>
      </c>
      <c r="CM37" s="181"/>
      <c r="CX37" s="181"/>
      <c r="CY37" s="181"/>
    </row>
    <row r="38" spans="1:110">
      <c r="A38" s="121" t="s">
        <v>166</v>
      </c>
      <c r="B38" s="67"/>
      <c r="C38" s="190">
        <v>0</v>
      </c>
      <c r="D38" s="190">
        <v>0</v>
      </c>
      <c r="E38" s="190">
        <v>0</v>
      </c>
      <c r="F38" s="190">
        <v>0</v>
      </c>
      <c r="G38" s="190">
        <v>0</v>
      </c>
      <c r="H38" s="190">
        <v>0</v>
      </c>
      <c r="I38" s="190"/>
      <c r="J38" s="190">
        <f t="shared" si="0"/>
        <v>0</v>
      </c>
      <c r="K38" s="190">
        <v>0</v>
      </c>
      <c r="L38" s="190">
        <v>0</v>
      </c>
      <c r="M38" s="190">
        <v>0</v>
      </c>
      <c r="N38" s="190">
        <v>0</v>
      </c>
      <c r="O38" s="190">
        <v>0</v>
      </c>
      <c r="P38" s="190">
        <v>0</v>
      </c>
      <c r="Q38" s="190">
        <v>0</v>
      </c>
      <c r="R38" s="190">
        <v>0</v>
      </c>
      <c r="S38" s="190">
        <v>0</v>
      </c>
      <c r="T38" s="190">
        <v>0</v>
      </c>
      <c r="U38" s="190">
        <v>0</v>
      </c>
      <c r="V38" s="190">
        <v>0</v>
      </c>
      <c r="W38" s="190">
        <v>0</v>
      </c>
      <c r="X38" s="190">
        <v>0</v>
      </c>
      <c r="Y38" s="190">
        <v>0</v>
      </c>
      <c r="Z38" s="190">
        <v>0</v>
      </c>
      <c r="AA38" s="190">
        <v>0</v>
      </c>
      <c r="AB38" s="190">
        <v>0</v>
      </c>
      <c r="AC38" s="190">
        <v>0</v>
      </c>
      <c r="AD38" s="190">
        <v>0</v>
      </c>
      <c r="AE38" s="190">
        <v>0</v>
      </c>
      <c r="AF38" s="190">
        <v>0</v>
      </c>
      <c r="AG38" s="190">
        <v>0</v>
      </c>
      <c r="AH38" s="190">
        <v>0</v>
      </c>
      <c r="AI38" s="190">
        <v>0</v>
      </c>
      <c r="AJ38" s="190">
        <v>0</v>
      </c>
      <c r="AK38" s="190">
        <v>0</v>
      </c>
      <c r="AL38" s="190">
        <v>0</v>
      </c>
      <c r="AM38" s="190">
        <v>0</v>
      </c>
      <c r="AN38" s="190">
        <v>0</v>
      </c>
      <c r="AO38" s="190">
        <v>0</v>
      </c>
      <c r="AP38" s="190">
        <v>0</v>
      </c>
      <c r="AQ38" s="190">
        <v>0</v>
      </c>
      <c r="AR38" s="190">
        <v>0</v>
      </c>
      <c r="AS38" s="190">
        <v>0</v>
      </c>
      <c r="AT38" s="190">
        <v>0</v>
      </c>
      <c r="AU38" s="190">
        <v>0</v>
      </c>
      <c r="AV38" s="190">
        <v>0</v>
      </c>
      <c r="AW38" s="190">
        <v>0</v>
      </c>
      <c r="AX38" s="190">
        <v>0</v>
      </c>
      <c r="AY38" s="190">
        <v>0</v>
      </c>
      <c r="AZ38" s="190">
        <v>0</v>
      </c>
      <c r="BA38" s="190">
        <v>0</v>
      </c>
      <c r="BB38" s="190">
        <v>0</v>
      </c>
      <c r="BC38" s="190">
        <v>0</v>
      </c>
      <c r="BD38" s="190">
        <v>0</v>
      </c>
      <c r="BE38" s="190">
        <v>0</v>
      </c>
      <c r="BF38" s="190">
        <v>0</v>
      </c>
      <c r="BG38" s="190">
        <v>0</v>
      </c>
      <c r="BH38" s="190">
        <v>1.23674083974844E-4</v>
      </c>
      <c r="BI38" s="190">
        <v>1.2367408397318799E-4</v>
      </c>
      <c r="BJ38" s="190">
        <v>1.2367408397318799E-4</v>
      </c>
      <c r="BK38" s="190">
        <v>1.23674083974844E-4</v>
      </c>
      <c r="BL38" s="190">
        <v>3.4122336405239201E-3</v>
      </c>
      <c r="BM38" s="190">
        <v>3.4122336405177098E-3</v>
      </c>
      <c r="BN38" s="190">
        <v>3.4122336405239201E-3</v>
      </c>
      <c r="BO38" s="190">
        <v>4.3879662022317399E-6</v>
      </c>
      <c r="BP38" s="190">
        <v>9.3295431540842095E-7</v>
      </c>
      <c r="BQ38" s="190">
        <v>3.58307592362399E-3</v>
      </c>
      <c r="BR38" s="190">
        <v>3.58307592362399E-3</v>
      </c>
      <c r="BS38" s="190">
        <v>3.5830759236503301E-3</v>
      </c>
      <c r="BT38" s="190">
        <v>3.58307592362399E-3</v>
      </c>
      <c r="BU38" s="190">
        <v>1.3914484262556999E-4</v>
      </c>
      <c r="BV38" s="190">
        <v>1.3917404618181501E-4</v>
      </c>
      <c r="BW38" s="190">
        <v>1.3921970665503201E-4</v>
      </c>
      <c r="BX38" s="190">
        <v>1.3913469872943199E-4</v>
      </c>
      <c r="BY38" s="190">
        <v>7.3945652832824699E-2</v>
      </c>
      <c r="BZ38" s="190">
        <v>1.12389009914425E-23</v>
      </c>
      <c r="CA38" s="190">
        <v>0.104829113956057</v>
      </c>
      <c r="CB38" s="190">
        <v>0.41195499491584903</v>
      </c>
      <c r="CC38" s="191">
        <v>5.6442758560578398E-11</v>
      </c>
      <c r="CJ38" s="181"/>
      <c r="CY38" s="181"/>
      <c r="DC38" s="181"/>
    </row>
    <row r="39" spans="1:110">
      <c r="A39" s="121" t="s">
        <v>167</v>
      </c>
      <c r="B39" s="67"/>
      <c r="C39" s="190">
        <v>0</v>
      </c>
      <c r="D39" s="190">
        <v>0</v>
      </c>
      <c r="E39" s="190">
        <v>0</v>
      </c>
      <c r="F39" s="190">
        <v>0</v>
      </c>
      <c r="G39" s="190">
        <v>0</v>
      </c>
      <c r="H39" s="190">
        <v>0</v>
      </c>
      <c r="I39" s="190"/>
      <c r="J39" s="190">
        <f t="shared" si="0"/>
        <v>0</v>
      </c>
      <c r="K39" s="190">
        <v>0</v>
      </c>
      <c r="L39" s="190">
        <v>0</v>
      </c>
      <c r="M39" s="190">
        <v>0</v>
      </c>
      <c r="N39" s="190">
        <v>0</v>
      </c>
      <c r="O39" s="190">
        <v>0</v>
      </c>
      <c r="P39" s="190">
        <v>0</v>
      </c>
      <c r="Q39" s="190">
        <v>0</v>
      </c>
      <c r="R39" s="190">
        <v>0</v>
      </c>
      <c r="S39" s="190">
        <v>0</v>
      </c>
      <c r="T39" s="190">
        <v>0</v>
      </c>
      <c r="U39" s="190">
        <v>0</v>
      </c>
      <c r="V39" s="190">
        <v>0</v>
      </c>
      <c r="W39" s="190">
        <v>0</v>
      </c>
      <c r="X39" s="190">
        <v>0</v>
      </c>
      <c r="Y39" s="190">
        <v>0</v>
      </c>
      <c r="Z39" s="190">
        <v>0</v>
      </c>
      <c r="AA39" s="190">
        <v>0</v>
      </c>
      <c r="AB39" s="190">
        <v>0</v>
      </c>
      <c r="AC39" s="190">
        <v>0</v>
      </c>
      <c r="AD39" s="190">
        <v>0</v>
      </c>
      <c r="AE39" s="190">
        <v>0</v>
      </c>
      <c r="AF39" s="190">
        <v>0</v>
      </c>
      <c r="AG39" s="190">
        <v>0</v>
      </c>
      <c r="AH39" s="190">
        <v>0</v>
      </c>
      <c r="AI39" s="190">
        <v>0</v>
      </c>
      <c r="AJ39" s="190">
        <v>0</v>
      </c>
      <c r="AK39" s="190">
        <v>0</v>
      </c>
      <c r="AL39" s="190">
        <v>0</v>
      </c>
      <c r="AM39" s="190">
        <v>0</v>
      </c>
      <c r="AN39" s="190">
        <v>0</v>
      </c>
      <c r="AO39" s="190">
        <v>0</v>
      </c>
      <c r="AP39" s="190">
        <v>0</v>
      </c>
      <c r="AQ39" s="190">
        <v>0</v>
      </c>
      <c r="AR39" s="190">
        <v>0</v>
      </c>
      <c r="AS39" s="190">
        <v>0</v>
      </c>
      <c r="AT39" s="190">
        <v>0</v>
      </c>
      <c r="AU39" s="190">
        <v>0</v>
      </c>
      <c r="AV39" s="190">
        <v>0</v>
      </c>
      <c r="AW39" s="190">
        <v>0</v>
      </c>
      <c r="AX39" s="190">
        <v>0</v>
      </c>
      <c r="AY39" s="190">
        <v>0</v>
      </c>
      <c r="AZ39" s="190">
        <v>0</v>
      </c>
      <c r="BA39" s="190">
        <v>0</v>
      </c>
      <c r="BB39" s="190">
        <v>0</v>
      </c>
      <c r="BC39" s="190">
        <v>0</v>
      </c>
      <c r="BD39" s="190">
        <v>0</v>
      </c>
      <c r="BE39" s="190">
        <v>0</v>
      </c>
      <c r="BF39" s="190">
        <v>0</v>
      </c>
      <c r="BG39" s="190">
        <v>0</v>
      </c>
      <c r="BH39" s="190">
        <v>2.1001427165518601E-6</v>
      </c>
      <c r="BI39" s="190">
        <v>2.1001427165817701E-6</v>
      </c>
      <c r="BJ39" s="190">
        <v>2.1001427165817701E-6</v>
      </c>
      <c r="BK39" s="190">
        <v>2.1001427165518601E-6</v>
      </c>
      <c r="BL39" s="190">
        <v>6.87216716997609E-4</v>
      </c>
      <c r="BM39" s="190">
        <v>6.8721671699555E-4</v>
      </c>
      <c r="BN39" s="190">
        <v>6.87216716997609E-4</v>
      </c>
      <c r="BO39" s="190">
        <v>8.9665844565899E-7</v>
      </c>
      <c r="BP39" s="190">
        <v>1.9064444158651299E-7</v>
      </c>
      <c r="BQ39" s="190">
        <v>7.2162334715222397E-4</v>
      </c>
      <c r="BR39" s="190">
        <v>7.2162334715222397E-4</v>
      </c>
      <c r="BS39" s="190">
        <v>7.2162334714482505E-4</v>
      </c>
      <c r="BT39" s="190">
        <v>7.2162334715222397E-4</v>
      </c>
      <c r="BU39" s="190">
        <v>2.3611585328947699E-6</v>
      </c>
      <c r="BV39" s="190">
        <v>2.3627553912886601E-6</v>
      </c>
      <c r="BW39" s="190">
        <v>2.3641270954675E-6</v>
      </c>
      <c r="BX39" s="190">
        <v>2.36159240258309E-6</v>
      </c>
      <c r="BY39" s="190">
        <v>1.5416789967599201E-2</v>
      </c>
      <c r="BZ39" s="190">
        <v>3.8165576291060801E-34</v>
      </c>
      <c r="CA39" s="190">
        <v>2.1855764252607799E-2</v>
      </c>
      <c r="CB39" s="190">
        <v>8.5888270113143705E-2</v>
      </c>
      <c r="CC39" s="191">
        <v>4.4113398046211604E-34</v>
      </c>
      <c r="CJ39" s="181"/>
      <c r="CN39" s="181"/>
      <c r="CY39" s="181"/>
      <c r="DC39" s="181"/>
      <c r="DF39" s="181"/>
    </row>
    <row r="40" spans="1:110">
      <c r="A40" s="182" t="s">
        <v>512</v>
      </c>
      <c r="B40" s="183" t="s">
        <v>152</v>
      </c>
      <c r="C40" s="192">
        <v>469520.946982069</v>
      </c>
      <c r="D40" s="192">
        <v>469520.946982069</v>
      </c>
      <c r="E40" s="192">
        <v>469520.946982069</v>
      </c>
      <c r="F40" s="192"/>
      <c r="G40" s="192">
        <v>469520.946982069</v>
      </c>
      <c r="H40" s="192">
        <v>469520.946982069</v>
      </c>
      <c r="I40" s="192">
        <v>237598.29833790701</v>
      </c>
      <c r="J40" s="192">
        <f t="shared" si="0"/>
        <v>571030.85494510655</v>
      </c>
      <c r="K40" s="192">
        <v>507133.44786252198</v>
      </c>
      <c r="L40" s="192">
        <v>63897.407082584599</v>
      </c>
      <c r="M40" s="192">
        <v>63897.407082584599</v>
      </c>
      <c r="N40" s="192">
        <v>63897.407082584599</v>
      </c>
      <c r="O40" s="192">
        <v>527279.29329839395</v>
      </c>
      <c r="P40" s="192">
        <v>527279.29329839395</v>
      </c>
      <c r="Q40" s="192">
        <v>527279.29329839395</v>
      </c>
      <c r="R40" s="192">
        <v>533418.354064652</v>
      </c>
      <c r="S40" s="192">
        <v>530869.60984472604</v>
      </c>
      <c r="T40" s="192">
        <v>530869.60984472604</v>
      </c>
      <c r="U40" s="192">
        <v>530869.60984472604</v>
      </c>
      <c r="V40" s="192">
        <v>530869.60984472604</v>
      </c>
      <c r="W40" s="192">
        <v>530869.60984472604</v>
      </c>
      <c r="X40" s="192">
        <v>533418.354064652</v>
      </c>
      <c r="Y40" s="192">
        <v>118456.42724426799</v>
      </c>
      <c r="Z40" s="192">
        <v>414961.926820383</v>
      </c>
      <c r="AA40" s="192">
        <v>414961.926820383</v>
      </c>
      <c r="AB40" s="192">
        <v>414961.926820383</v>
      </c>
      <c r="AC40" s="192">
        <v>2364.5030341818801</v>
      </c>
      <c r="AD40" s="192">
        <v>412597.42769945803</v>
      </c>
      <c r="AE40" s="192">
        <v>412597.42769945803</v>
      </c>
      <c r="AF40" s="192">
        <v>1361924.6618168999</v>
      </c>
      <c r="AG40" s="192">
        <v>1361924.66182847</v>
      </c>
      <c r="AH40" s="192">
        <v>1361924.66182847</v>
      </c>
      <c r="AI40" s="192">
        <v>1361771.8079528101</v>
      </c>
      <c r="AJ40" s="192">
        <v>1361771.8079528301</v>
      </c>
      <c r="AK40" s="192">
        <v>1361924.6618297901</v>
      </c>
      <c r="AL40" s="192">
        <v>1361924.6618169099</v>
      </c>
      <c r="AM40" s="192">
        <v>995963.16640911798</v>
      </c>
      <c r="AN40" s="192">
        <v>949327.234117441</v>
      </c>
      <c r="AO40" s="192">
        <v>949327.234117441</v>
      </c>
      <c r="AP40" s="192">
        <v>46710.672504587601</v>
      </c>
      <c r="AQ40" s="192">
        <v>365961.49540741002</v>
      </c>
      <c r="AR40" s="192">
        <v>365961.49540741002</v>
      </c>
      <c r="AS40" s="192">
        <v>57651.4869152889</v>
      </c>
      <c r="AT40" s="192">
        <v>308310.00849248102</v>
      </c>
      <c r="AU40" s="192">
        <v>340354.00515350298</v>
      </c>
      <c r="AV40" s="192">
        <v>340354.00515263597</v>
      </c>
      <c r="AW40" s="192">
        <v>340354.00515350298</v>
      </c>
      <c r="AX40" s="192">
        <v>340354.00515350298</v>
      </c>
      <c r="AY40" s="192">
        <v>340354.00515529298</v>
      </c>
      <c r="AZ40" s="192">
        <v>340354.00515350298</v>
      </c>
      <c r="BA40" s="192">
        <v>116442.379279024</v>
      </c>
      <c r="BB40" s="192">
        <v>84398.435232391697</v>
      </c>
      <c r="BC40" s="192">
        <v>32043.9966610224</v>
      </c>
      <c r="BD40" s="192">
        <v>32043.9966610224</v>
      </c>
      <c r="BE40" s="192">
        <v>223911.625874488</v>
      </c>
      <c r="BF40" s="192">
        <v>46710.672504587601</v>
      </c>
      <c r="BG40" s="192">
        <v>270622.29837907501</v>
      </c>
      <c r="BH40" s="192">
        <v>1335120.6763605699</v>
      </c>
      <c r="BI40" s="192">
        <v>1335120.67637793</v>
      </c>
      <c r="BJ40" s="192">
        <v>1335120.67637793</v>
      </c>
      <c r="BK40" s="192">
        <v>1335120.6763605699</v>
      </c>
      <c r="BL40" s="192">
        <v>1335120.6763605699</v>
      </c>
      <c r="BM40" s="192">
        <v>1335120.67636805</v>
      </c>
      <c r="BN40" s="192">
        <v>1335120.6763605699</v>
      </c>
      <c r="BO40" s="192">
        <v>71036.741315117499</v>
      </c>
      <c r="BP40" s="192">
        <v>333907.593741249</v>
      </c>
      <c r="BQ40" s="192">
        <v>1264083.9345368501</v>
      </c>
      <c r="BR40" s="192">
        <v>1264083.9345368501</v>
      </c>
      <c r="BS40" s="192">
        <v>1264083.9345390301</v>
      </c>
      <c r="BT40" s="192">
        <v>1264083.9345368501</v>
      </c>
      <c r="BU40" s="192">
        <v>1087932.4282181701</v>
      </c>
      <c r="BV40" s="192">
        <v>1086883.44248894</v>
      </c>
      <c r="BW40" s="192">
        <v>1064498.37798149</v>
      </c>
      <c r="BX40" s="192">
        <v>23829.1793471889</v>
      </c>
      <c r="BY40" s="192">
        <v>176151.50631605499</v>
      </c>
      <c r="BZ40" s="192">
        <v>41201.669487007399</v>
      </c>
      <c r="CA40" s="192">
        <v>134791.88389704601</v>
      </c>
      <c r="CB40" s="192">
        <v>30510.891528726799</v>
      </c>
      <c r="CC40" s="193">
        <v>104280.99236753301</v>
      </c>
    </row>
    <row r="41" spans="1:110">
      <c r="A41" s="121" t="s">
        <v>68</v>
      </c>
      <c r="B41" s="67" t="s">
        <v>152</v>
      </c>
      <c r="C41" s="194">
        <v>464993.30243025097</v>
      </c>
      <c r="D41" s="194">
        <v>464993.30243025097</v>
      </c>
      <c r="E41" s="194">
        <v>464993.30243025097</v>
      </c>
      <c r="F41" s="194"/>
      <c r="G41" s="194">
        <v>464993.30243025097</v>
      </c>
      <c r="H41" s="194">
        <v>464993.30243025097</v>
      </c>
      <c r="I41" s="194"/>
      <c r="J41" s="194">
        <f t="shared" si="0"/>
        <v>0</v>
      </c>
      <c r="K41" s="194">
        <v>0</v>
      </c>
      <c r="L41" s="194">
        <v>0</v>
      </c>
      <c r="M41" s="194">
        <v>0</v>
      </c>
      <c r="N41" s="194">
        <v>0</v>
      </c>
      <c r="O41" s="194">
        <v>458913.44133358699</v>
      </c>
      <c r="P41" s="194">
        <v>458913.44133358699</v>
      </c>
      <c r="Q41" s="194">
        <v>458913.44133358699</v>
      </c>
      <c r="R41" s="194">
        <v>189640.60800981801</v>
      </c>
      <c r="S41" s="194">
        <v>188159.39217580899</v>
      </c>
      <c r="T41" s="194">
        <v>188159.39217580899</v>
      </c>
      <c r="U41" s="194">
        <v>188159.39217580899</v>
      </c>
      <c r="V41" s="194">
        <v>188159.39217580899</v>
      </c>
      <c r="W41" s="194">
        <v>188159.39217580899</v>
      </c>
      <c r="X41" s="194">
        <v>189640.60800981801</v>
      </c>
      <c r="Y41" s="194">
        <v>110.88916102551499</v>
      </c>
      <c r="Z41" s="194">
        <v>189529.71884879199</v>
      </c>
      <c r="AA41" s="194">
        <v>189529.71884879199</v>
      </c>
      <c r="AB41" s="194">
        <v>189529.71884879199</v>
      </c>
      <c r="AC41" s="194">
        <v>4.6525469342020198</v>
      </c>
      <c r="AD41" s="194">
        <v>189525.06298282699</v>
      </c>
      <c r="AE41" s="194">
        <v>189525.06298282699</v>
      </c>
      <c r="AF41" s="194">
        <v>807984.19326270896</v>
      </c>
      <c r="AG41" s="194">
        <v>807984.19327467505</v>
      </c>
      <c r="AH41" s="194">
        <v>807984.19327467505</v>
      </c>
      <c r="AI41" s="194">
        <v>807793.23740215797</v>
      </c>
      <c r="AJ41" s="194">
        <v>664204.680094057</v>
      </c>
      <c r="AK41" s="194">
        <v>664417.33752483898</v>
      </c>
      <c r="AL41" s="194">
        <v>664417.33751116996</v>
      </c>
      <c r="AM41" s="194">
        <v>648794.24127489305</v>
      </c>
      <c r="AN41" s="194">
        <v>618459.13027988002</v>
      </c>
      <c r="AO41" s="194">
        <v>618459.13027988002</v>
      </c>
      <c r="AP41" s="194">
        <v>30428.449915792498</v>
      </c>
      <c r="AQ41" s="194">
        <v>15623.0962364068</v>
      </c>
      <c r="AR41" s="194">
        <v>15623.0962364068</v>
      </c>
      <c r="AS41" s="194">
        <v>4.5674592000999401E-4</v>
      </c>
      <c r="AT41" s="194">
        <v>15623.0957797025</v>
      </c>
      <c r="AU41" s="194">
        <v>15626.0745126653</v>
      </c>
      <c r="AV41" s="194">
        <v>15626.0745127228</v>
      </c>
      <c r="AW41" s="194">
        <v>15626.0745126653</v>
      </c>
      <c r="AX41" s="194">
        <v>15626.0745126653</v>
      </c>
      <c r="AY41" s="194">
        <v>15626.0745127228</v>
      </c>
      <c r="AZ41" s="194">
        <v>15626.0745126653</v>
      </c>
      <c r="BA41" s="194">
        <v>2.9834474571811902</v>
      </c>
      <c r="BB41" s="194">
        <v>2.3211637978972099E-3</v>
      </c>
      <c r="BC41" s="194">
        <v>2.9787329627450401</v>
      </c>
      <c r="BD41" s="194">
        <v>2.9787329627450401</v>
      </c>
      <c r="BE41" s="194">
        <v>15623.091065209101</v>
      </c>
      <c r="BF41" s="194">
        <v>30428.449915792498</v>
      </c>
      <c r="BG41" s="194">
        <v>46051.540981001599</v>
      </c>
      <c r="BH41" s="194">
        <v>551414.94524827402</v>
      </c>
      <c r="BI41" s="194">
        <v>551414.94525870797</v>
      </c>
      <c r="BJ41" s="194">
        <v>551414.94525870797</v>
      </c>
      <c r="BK41" s="194">
        <v>551414.94524827402</v>
      </c>
      <c r="BL41" s="194">
        <v>551414.94524827402</v>
      </c>
      <c r="BM41" s="194">
        <v>551414.94525870797</v>
      </c>
      <c r="BN41" s="194">
        <v>551414.94524827402</v>
      </c>
      <c r="BO41" s="194">
        <v>149.09619258459901</v>
      </c>
      <c r="BP41" s="194">
        <v>264.64067845403298</v>
      </c>
      <c r="BQ41" s="194">
        <v>551265.85087938502</v>
      </c>
      <c r="BR41" s="194">
        <v>551265.85087938502</v>
      </c>
      <c r="BS41" s="194">
        <v>551265.85088271904</v>
      </c>
      <c r="BT41" s="194">
        <v>551265.85087938502</v>
      </c>
      <c r="BU41" s="194">
        <v>516456.839364379</v>
      </c>
      <c r="BV41" s="194">
        <v>515780.45291275502</v>
      </c>
      <c r="BW41" s="194">
        <v>505363.40426727198</v>
      </c>
      <c r="BX41" s="194">
        <v>11312.083506139399</v>
      </c>
      <c r="BY41" s="194">
        <v>34809.011514752499</v>
      </c>
      <c r="BZ41" s="194">
        <v>34732.101477648699</v>
      </c>
      <c r="CA41" s="194">
        <v>0.25597045881790798</v>
      </c>
      <c r="CB41" s="194">
        <v>1.8139265505031699E-16</v>
      </c>
      <c r="CC41" s="195">
        <v>0.25597045880438801</v>
      </c>
      <c r="CM41" s="181"/>
    </row>
    <row r="42" spans="1:110">
      <c r="A42" s="121" t="s">
        <v>69</v>
      </c>
      <c r="B42" s="67" t="s">
        <v>152</v>
      </c>
      <c r="C42" s="194">
        <v>0</v>
      </c>
      <c r="D42" s="194">
        <v>0</v>
      </c>
      <c r="E42" s="194">
        <v>0</v>
      </c>
      <c r="F42" s="194"/>
      <c r="G42" s="194">
        <v>0</v>
      </c>
      <c r="H42" s="194">
        <v>0</v>
      </c>
      <c r="I42" s="194"/>
      <c r="J42" s="194">
        <f t="shared" si="0"/>
        <v>63897.407082584599</v>
      </c>
      <c r="K42" s="194">
        <v>0</v>
      </c>
      <c r="L42" s="194">
        <v>63897.407082584599</v>
      </c>
      <c r="M42" s="194">
        <v>63897.407082584599</v>
      </c>
      <c r="N42" s="194">
        <v>63897.407082584599</v>
      </c>
      <c r="O42" s="194">
        <v>63897.407082584701</v>
      </c>
      <c r="P42" s="194">
        <v>63897.407082584701</v>
      </c>
      <c r="Q42" s="194">
        <v>63897.407082584701</v>
      </c>
      <c r="R42" s="194">
        <v>49392.917444537998</v>
      </c>
      <c r="S42" s="194">
        <v>49314.961672315003</v>
      </c>
      <c r="T42" s="194">
        <v>49314.961672315003</v>
      </c>
      <c r="U42" s="194">
        <v>49314.961672315003</v>
      </c>
      <c r="V42" s="194">
        <v>49314.961672315003</v>
      </c>
      <c r="W42" s="194">
        <v>49314.961672315003</v>
      </c>
      <c r="X42" s="194">
        <v>49392.917444537998</v>
      </c>
      <c r="Y42" s="194">
        <v>0.414744003940415</v>
      </c>
      <c r="Z42" s="194">
        <v>49392.502700534002</v>
      </c>
      <c r="AA42" s="194">
        <v>49392.502700534002</v>
      </c>
      <c r="AB42" s="194">
        <v>49392.502700534002</v>
      </c>
      <c r="AC42" s="194">
        <v>1.7974476325173499E-2</v>
      </c>
      <c r="AD42" s="194">
        <v>49392.483855427097</v>
      </c>
      <c r="AE42" s="194">
        <v>49392.483855427097</v>
      </c>
      <c r="AF42" s="194">
        <v>176710.195121172</v>
      </c>
      <c r="AG42" s="194">
        <v>176710.19512074901</v>
      </c>
      <c r="AH42" s="194">
        <v>176710.19512074901</v>
      </c>
      <c r="AI42" s="194">
        <v>176749.81133009799</v>
      </c>
      <c r="AJ42" s="194">
        <v>133711.38200851699</v>
      </c>
      <c r="AK42" s="194">
        <v>133674.24842233199</v>
      </c>
      <c r="AL42" s="194">
        <v>133674.248422829</v>
      </c>
      <c r="AM42" s="194">
        <v>133604.69320328801</v>
      </c>
      <c r="AN42" s="194">
        <v>127317.71126574501</v>
      </c>
      <c r="AO42" s="194">
        <v>127317.71126574501</v>
      </c>
      <c r="AP42" s="194">
        <v>6266.0601112342101</v>
      </c>
      <c r="AQ42" s="194">
        <v>69.555219572865695</v>
      </c>
      <c r="AR42" s="194">
        <v>69.555219572865695</v>
      </c>
      <c r="AS42" s="194">
        <v>5.4923690209497402E-65</v>
      </c>
      <c r="AT42" s="194">
        <v>69.555219573048902</v>
      </c>
      <c r="AU42" s="194">
        <v>69.555219573048802</v>
      </c>
      <c r="AV42" s="194">
        <v>69.555219572688202</v>
      </c>
      <c r="AW42" s="194">
        <v>69.555219573048802</v>
      </c>
      <c r="AX42" s="194">
        <v>69.555219573048802</v>
      </c>
      <c r="AY42" s="194">
        <v>69.555219572688202</v>
      </c>
      <c r="AZ42" s="194">
        <v>69.555219573048802</v>
      </c>
      <c r="BA42" s="194">
        <v>6.7145567410616595E-64</v>
      </c>
      <c r="BB42" s="194">
        <v>0</v>
      </c>
      <c r="BC42" s="194">
        <v>0</v>
      </c>
      <c r="BD42" s="194">
        <v>0</v>
      </c>
      <c r="BE42" s="194">
        <v>69.555219573053407</v>
      </c>
      <c r="BF42" s="194">
        <v>6266.0601112342101</v>
      </c>
      <c r="BG42" s="194">
        <v>6335.6153308072599</v>
      </c>
      <c r="BH42" s="194">
        <v>85389.734923083801</v>
      </c>
      <c r="BI42" s="194">
        <v>85389.734923506199</v>
      </c>
      <c r="BJ42" s="194">
        <v>85389.734923506199</v>
      </c>
      <c r="BK42" s="194">
        <v>85389.734923083801</v>
      </c>
      <c r="BL42" s="194">
        <v>80812.854514969906</v>
      </c>
      <c r="BM42" s="194">
        <v>80812.854515097002</v>
      </c>
      <c r="BN42" s="194">
        <v>80812.854514969906</v>
      </c>
      <c r="BO42" s="194">
        <v>0.33207297917547501</v>
      </c>
      <c r="BP42" s="194">
        <v>0.76479145944106197</v>
      </c>
      <c r="BQ42" s="194">
        <v>80812.5227107627</v>
      </c>
      <c r="BR42" s="194">
        <v>80812.5227107627</v>
      </c>
      <c r="BS42" s="194">
        <v>80812.522711328595</v>
      </c>
      <c r="BT42" s="194">
        <v>80812.5227107627</v>
      </c>
      <c r="BU42" s="194">
        <v>80778.516627589401</v>
      </c>
      <c r="BV42" s="194">
        <v>80714.597399283099</v>
      </c>
      <c r="BW42" s="194">
        <v>79054.119592276606</v>
      </c>
      <c r="BX42" s="194">
        <v>1769.7942470228299</v>
      </c>
      <c r="BY42" s="194">
        <v>34.006083250148698</v>
      </c>
      <c r="BZ42" s="194">
        <v>1.5733322518594202E-5</v>
      </c>
      <c r="CA42" s="194">
        <v>2.88963039989019E-118</v>
      </c>
      <c r="CB42" s="194">
        <v>0</v>
      </c>
      <c r="CC42" s="195">
        <v>0</v>
      </c>
      <c r="CJ42" s="181"/>
      <c r="CR42" s="181"/>
    </row>
    <row r="43" spans="1:110">
      <c r="A43" s="121" t="s">
        <v>510</v>
      </c>
      <c r="B43" s="67" t="s">
        <v>152</v>
      </c>
      <c r="C43" s="194">
        <v>0</v>
      </c>
      <c r="D43" s="194">
        <v>0</v>
      </c>
      <c r="E43" s="194">
        <v>0</v>
      </c>
      <c r="F43" s="194"/>
      <c r="G43" s="194">
        <v>0</v>
      </c>
      <c r="H43" s="194">
        <v>0</v>
      </c>
      <c r="I43" s="194"/>
      <c r="J43" s="194">
        <f t="shared" si="0"/>
        <v>0</v>
      </c>
      <c r="K43" s="194">
        <v>0</v>
      </c>
      <c r="L43" s="194">
        <v>0</v>
      </c>
      <c r="M43" s="194">
        <v>0</v>
      </c>
      <c r="N43" s="194">
        <v>0</v>
      </c>
      <c r="O43" s="194">
        <v>0</v>
      </c>
      <c r="P43" s="194">
        <v>0</v>
      </c>
      <c r="Q43" s="194">
        <v>0</v>
      </c>
      <c r="R43" s="194">
        <v>166487.96759367801</v>
      </c>
      <c r="S43" s="194">
        <v>167382.77316230399</v>
      </c>
      <c r="T43" s="194">
        <v>167382.77316230399</v>
      </c>
      <c r="U43" s="194">
        <v>167382.77316230399</v>
      </c>
      <c r="V43" s="194">
        <v>167382.77316230399</v>
      </c>
      <c r="W43" s="194">
        <v>167382.77316230399</v>
      </c>
      <c r="X43" s="194">
        <v>166487.96759367801</v>
      </c>
      <c r="Y43" s="194">
        <v>1.9873737015525399</v>
      </c>
      <c r="Z43" s="194">
        <v>166485.98021997701</v>
      </c>
      <c r="AA43" s="194">
        <v>166485.98021997701</v>
      </c>
      <c r="AB43" s="194">
        <v>166485.98021997701</v>
      </c>
      <c r="AC43" s="194">
        <v>8.4782339947405805E-2</v>
      </c>
      <c r="AD43" s="194">
        <v>166485.89250314099</v>
      </c>
      <c r="AE43" s="194">
        <v>166485.89250314099</v>
      </c>
      <c r="AF43" s="194">
        <v>256143.052142381</v>
      </c>
      <c r="AG43" s="194">
        <v>256143.05214177299</v>
      </c>
      <c r="AH43" s="194">
        <v>256143.05214177299</v>
      </c>
      <c r="AI43" s="194">
        <v>256120.57974329201</v>
      </c>
      <c r="AJ43" s="194">
        <v>94195.969931578293</v>
      </c>
      <c r="AK43" s="194">
        <v>94214.971998262103</v>
      </c>
      <c r="AL43" s="194">
        <v>94214.971998215697</v>
      </c>
      <c r="AM43" s="194">
        <v>94055.335824143796</v>
      </c>
      <c r="AN43" s="194">
        <v>89657.1596392387</v>
      </c>
      <c r="AO43" s="194">
        <v>89657.1596392387</v>
      </c>
      <c r="AP43" s="194">
        <v>4411.1952501523401</v>
      </c>
      <c r="AQ43" s="194">
        <v>159.63617409434201</v>
      </c>
      <c r="AR43" s="194">
        <v>159.63617409434201</v>
      </c>
      <c r="AS43" s="194">
        <v>5.7767251745878997E-23</v>
      </c>
      <c r="AT43" s="194">
        <v>159.63617409476799</v>
      </c>
      <c r="AU43" s="194">
        <v>159.63617409476799</v>
      </c>
      <c r="AV43" s="194">
        <v>159.63617409499301</v>
      </c>
      <c r="AW43" s="194">
        <v>159.63617409476799</v>
      </c>
      <c r="AX43" s="194">
        <v>159.63617409476799</v>
      </c>
      <c r="AY43" s="194">
        <v>159.63617409499301</v>
      </c>
      <c r="AZ43" s="194">
        <v>159.63617409476799</v>
      </c>
      <c r="BA43" s="194">
        <v>3.7368987900970999E-19</v>
      </c>
      <c r="BB43" s="194">
        <v>0</v>
      </c>
      <c r="BC43" s="194">
        <v>0</v>
      </c>
      <c r="BD43" s="194">
        <v>0</v>
      </c>
      <c r="BE43" s="194">
        <v>159.636174094778</v>
      </c>
      <c r="BF43" s="194">
        <v>4411.1952501523401</v>
      </c>
      <c r="BG43" s="194">
        <v>4570.8314242471097</v>
      </c>
      <c r="BH43" s="194">
        <v>182549.08622463001</v>
      </c>
      <c r="BI43" s="194">
        <v>182549.08622454101</v>
      </c>
      <c r="BJ43" s="194">
        <v>182549.08622454101</v>
      </c>
      <c r="BK43" s="194">
        <v>182549.08622463001</v>
      </c>
      <c r="BL43" s="194">
        <v>182549.08622463001</v>
      </c>
      <c r="BM43" s="194">
        <v>182549.08622453999</v>
      </c>
      <c r="BN43" s="194">
        <v>182549.08622463001</v>
      </c>
      <c r="BO43" s="194">
        <v>1.0361173273447699</v>
      </c>
      <c r="BP43" s="194">
        <v>3.1082733688447202</v>
      </c>
      <c r="BQ43" s="194">
        <v>182548.050714415</v>
      </c>
      <c r="BR43" s="194">
        <v>182548.050714415</v>
      </c>
      <c r="BS43" s="194">
        <v>182548.050713665</v>
      </c>
      <c r="BT43" s="194">
        <v>182548.050714415</v>
      </c>
      <c r="BU43" s="194">
        <v>181935.65687243201</v>
      </c>
      <c r="BV43" s="194">
        <v>181840.71682439599</v>
      </c>
      <c r="BW43" s="194">
        <v>177978.25480038399</v>
      </c>
      <c r="BX43" s="194">
        <v>3984.6190623298298</v>
      </c>
      <c r="BY43" s="194">
        <v>612.39384214467395</v>
      </c>
      <c r="BZ43" s="194">
        <v>601.97480910515799</v>
      </c>
      <c r="CA43" s="194">
        <v>5.3271682689988998E-24</v>
      </c>
      <c r="CB43" s="194">
        <v>0</v>
      </c>
      <c r="CC43" s="195">
        <v>0</v>
      </c>
    </row>
    <row r="44" spans="1:110">
      <c r="A44" s="121" t="s">
        <v>157</v>
      </c>
      <c r="B44" s="67" t="s">
        <v>152</v>
      </c>
      <c r="C44" s="194">
        <v>4527.6445518180099</v>
      </c>
      <c r="D44" s="194">
        <v>4527.6445518180099</v>
      </c>
      <c r="E44" s="194">
        <v>4527.6445518180099</v>
      </c>
      <c r="F44" s="194"/>
      <c r="G44" s="194">
        <v>4527.6445518179999</v>
      </c>
      <c r="H44" s="194">
        <v>4527.6445518180099</v>
      </c>
      <c r="I44" s="194">
        <v>237598.29833790701</v>
      </c>
      <c r="J44" s="194">
        <f t="shared" si="0"/>
        <v>0</v>
      </c>
      <c r="K44" s="194">
        <v>0</v>
      </c>
      <c r="L44" s="194">
        <v>0</v>
      </c>
      <c r="M44" s="194">
        <v>0</v>
      </c>
      <c r="N44" s="194">
        <v>0</v>
      </c>
      <c r="O44" s="194">
        <v>4468.4448822224103</v>
      </c>
      <c r="P44" s="194">
        <v>4468.4448822224103</v>
      </c>
      <c r="Q44" s="194">
        <v>4468.4448822224103</v>
      </c>
      <c r="R44" s="194">
        <v>122878.18654872599</v>
      </c>
      <c r="S44" s="194">
        <v>120966.835018525</v>
      </c>
      <c r="T44" s="194">
        <v>120966.835018525</v>
      </c>
      <c r="U44" s="194">
        <v>120966.835018525</v>
      </c>
      <c r="V44" s="194">
        <v>120966.835018525</v>
      </c>
      <c r="W44" s="194">
        <v>120966.835018525</v>
      </c>
      <c r="X44" s="194">
        <v>122878.18654872599</v>
      </c>
      <c r="Y44" s="194">
        <v>118342.90393842501</v>
      </c>
      <c r="Z44" s="194">
        <v>4535.2826103009502</v>
      </c>
      <c r="AA44" s="194">
        <v>4535.2826103009502</v>
      </c>
      <c r="AB44" s="194">
        <v>4535.2826103009502</v>
      </c>
      <c r="AC44" s="194">
        <v>2359.7379111332302</v>
      </c>
      <c r="AD44" s="194">
        <v>2175.5558250034001</v>
      </c>
      <c r="AE44" s="194">
        <v>2175.5558250034001</v>
      </c>
      <c r="AF44" s="194">
        <v>4102.7645220187997</v>
      </c>
      <c r="AG44" s="194">
        <v>4102.7645219412498</v>
      </c>
      <c r="AH44" s="194">
        <v>4102.7645219412498</v>
      </c>
      <c r="AI44" s="194">
        <v>4103.2419449345698</v>
      </c>
      <c r="AJ44" s="194">
        <v>62880.788416449897</v>
      </c>
      <c r="AK44" s="194">
        <v>62871.427526556203</v>
      </c>
      <c r="AL44" s="194">
        <v>62871.427526255597</v>
      </c>
      <c r="AM44" s="194">
        <v>2022.34596398346</v>
      </c>
      <c r="AN44" s="194">
        <v>1927.20869701538</v>
      </c>
      <c r="AO44" s="194">
        <v>1927.20869701538</v>
      </c>
      <c r="AP44" s="194">
        <v>94.848025710824004</v>
      </c>
      <c r="AQ44" s="194">
        <v>60849.081562168503</v>
      </c>
      <c r="AR44" s="194">
        <v>60849.081562168503</v>
      </c>
      <c r="AS44" s="194">
        <v>57645.568543942201</v>
      </c>
      <c r="AT44" s="194">
        <v>3203.5130177722299</v>
      </c>
      <c r="AU44" s="194">
        <v>3551.8406506875399</v>
      </c>
      <c r="AV44" s="194">
        <v>3551.8406507141599</v>
      </c>
      <c r="AW44" s="194">
        <v>3551.8406506875399</v>
      </c>
      <c r="AX44" s="194">
        <v>84568.668777478902</v>
      </c>
      <c r="AY44" s="194">
        <v>84568.668777535306</v>
      </c>
      <c r="AZ44" s="194">
        <v>84568.668777478902</v>
      </c>
      <c r="BA44" s="194">
        <v>84568.6687773991</v>
      </c>
      <c r="BB44" s="194">
        <v>84220.178427555205</v>
      </c>
      <c r="BC44" s="194">
        <v>348.32763291531802</v>
      </c>
      <c r="BD44" s="194">
        <v>348.32763291531802</v>
      </c>
      <c r="BE44" s="194">
        <v>7.51274043398497E-8</v>
      </c>
      <c r="BF44" s="194">
        <v>94.848025710824004</v>
      </c>
      <c r="BG44" s="194">
        <v>94.848025785951407</v>
      </c>
      <c r="BH44" s="194">
        <v>94.973643822195399</v>
      </c>
      <c r="BI44" s="194">
        <v>94.973643822446107</v>
      </c>
      <c r="BJ44" s="194">
        <v>94.973643822446107</v>
      </c>
      <c r="BK44" s="194">
        <v>94.973643822195399</v>
      </c>
      <c r="BL44" s="194">
        <v>76855.600244764602</v>
      </c>
      <c r="BM44" s="194">
        <v>76855.600244376197</v>
      </c>
      <c r="BN44" s="194">
        <v>76855.600244764602</v>
      </c>
      <c r="BO44" s="194">
        <v>70864.1677861465</v>
      </c>
      <c r="BP44" s="194">
        <v>333432.55660720199</v>
      </c>
      <c r="BQ44" s="194">
        <v>5991.42777687735</v>
      </c>
      <c r="BR44" s="194">
        <v>5991.42777687735</v>
      </c>
      <c r="BS44" s="194">
        <v>5991.4277768735301</v>
      </c>
      <c r="BT44" s="194">
        <v>5991.42777687735</v>
      </c>
      <c r="BU44" s="194">
        <v>0.12804264035333601</v>
      </c>
      <c r="BV44" s="194">
        <v>0.12793534752141</v>
      </c>
      <c r="BW44" s="194">
        <v>0.12561803624419701</v>
      </c>
      <c r="BX44" s="194">
        <v>2.8103026053510902E-3</v>
      </c>
      <c r="BY44" s="194">
        <v>5991.2997342369999</v>
      </c>
      <c r="BZ44" s="194">
        <v>7.6007767959594006E-52</v>
      </c>
      <c r="CA44" s="194">
        <v>5991.2994525575696</v>
      </c>
      <c r="CB44" s="194">
        <v>5890.9866527896602</v>
      </c>
      <c r="CC44" s="195">
        <v>100.312800674295</v>
      </c>
      <c r="CD44" s="181"/>
      <c r="CJ44" s="181"/>
      <c r="DA44" s="181"/>
    </row>
    <row r="45" spans="1:110">
      <c r="A45" s="121" t="s">
        <v>159</v>
      </c>
      <c r="B45" s="67" t="s">
        <v>152</v>
      </c>
      <c r="C45" s="194">
        <v>0</v>
      </c>
      <c r="D45" s="194">
        <v>0</v>
      </c>
      <c r="E45" s="194">
        <v>0</v>
      </c>
      <c r="F45" s="194"/>
      <c r="G45" s="194">
        <v>0</v>
      </c>
      <c r="H45" s="194">
        <v>0</v>
      </c>
      <c r="I45" s="194"/>
      <c r="J45" s="194">
        <f t="shared" si="0"/>
        <v>0</v>
      </c>
      <c r="K45" s="194">
        <v>0</v>
      </c>
      <c r="L45" s="194">
        <v>0</v>
      </c>
      <c r="M45" s="194">
        <v>0</v>
      </c>
      <c r="N45" s="194">
        <v>0</v>
      </c>
      <c r="O45" s="194">
        <v>0</v>
      </c>
      <c r="P45" s="194">
        <v>0</v>
      </c>
      <c r="Q45" s="194">
        <v>0</v>
      </c>
      <c r="R45" s="194">
        <v>0</v>
      </c>
      <c r="S45" s="194">
        <v>0</v>
      </c>
      <c r="T45" s="194">
        <v>0</v>
      </c>
      <c r="U45" s="194">
        <v>0</v>
      </c>
      <c r="V45" s="194">
        <v>0</v>
      </c>
      <c r="W45" s="194">
        <v>0</v>
      </c>
      <c r="X45" s="194">
        <v>0</v>
      </c>
      <c r="Y45" s="194">
        <v>0</v>
      </c>
      <c r="Z45" s="194">
        <v>0</v>
      </c>
      <c r="AA45" s="194">
        <v>0</v>
      </c>
      <c r="AB45" s="194">
        <v>0</v>
      </c>
      <c r="AC45" s="194">
        <v>0</v>
      </c>
      <c r="AD45" s="194">
        <v>0</v>
      </c>
      <c r="AE45" s="194">
        <v>0</v>
      </c>
      <c r="AF45" s="194">
        <v>19038.9737898905</v>
      </c>
      <c r="AG45" s="194">
        <v>19038.973790042099</v>
      </c>
      <c r="AH45" s="194">
        <v>19038.973790042099</v>
      </c>
      <c r="AI45" s="194">
        <v>19041.283545341801</v>
      </c>
      <c r="AJ45" s="194">
        <v>308815.33351524197</v>
      </c>
      <c r="AK45" s="194">
        <v>308801.193378511</v>
      </c>
      <c r="AL45" s="194">
        <v>308801.193379712</v>
      </c>
      <c r="AM45" s="194">
        <v>19976.996433325701</v>
      </c>
      <c r="AN45" s="194">
        <v>19038.9737898905</v>
      </c>
      <c r="AO45" s="194">
        <v>19038.9737898905</v>
      </c>
      <c r="AP45" s="194">
        <v>936.92113272297604</v>
      </c>
      <c r="AQ45" s="194">
        <v>288824.196945898</v>
      </c>
      <c r="AR45" s="194">
        <v>288824.196945898</v>
      </c>
      <c r="AS45" s="194">
        <v>5.9179146007519003</v>
      </c>
      <c r="AT45" s="194">
        <v>288818.27903206699</v>
      </c>
      <c r="AU45" s="194">
        <v>320216.340984018</v>
      </c>
      <c r="AV45" s="194">
        <v>320216.340983067</v>
      </c>
      <c r="AW45" s="194">
        <v>320216.340984018</v>
      </c>
      <c r="AX45" s="194">
        <v>32021.634098401799</v>
      </c>
      <c r="AY45" s="194">
        <v>32021.634098306698</v>
      </c>
      <c r="AZ45" s="194">
        <v>32021.634098401799</v>
      </c>
      <c r="BA45" s="194">
        <v>31524.2837299204</v>
      </c>
      <c r="BB45" s="194">
        <v>126.321847041504</v>
      </c>
      <c r="BC45" s="194">
        <v>31398.0619519512</v>
      </c>
      <c r="BD45" s="194">
        <v>31398.0619519512</v>
      </c>
      <c r="BE45" s="194">
        <v>497.35036847955502</v>
      </c>
      <c r="BF45" s="194">
        <v>936.92113272297604</v>
      </c>
      <c r="BG45" s="194">
        <v>1434.2715012025301</v>
      </c>
      <c r="BH45" s="194">
        <v>1434.2715012025301</v>
      </c>
      <c r="BI45" s="194">
        <v>1434.2715012091701</v>
      </c>
      <c r="BJ45" s="194">
        <v>1434.2715012091701</v>
      </c>
      <c r="BK45" s="194">
        <v>1434.2715012025301</v>
      </c>
      <c r="BL45" s="194">
        <v>0</v>
      </c>
      <c r="BM45" s="194">
        <v>0</v>
      </c>
      <c r="BN45" s="194">
        <v>0</v>
      </c>
      <c r="BO45" s="194">
        <v>0</v>
      </c>
      <c r="BP45" s="194">
        <v>132.23976164225701</v>
      </c>
      <c r="BQ45" s="194">
        <v>0</v>
      </c>
      <c r="BR45" s="194">
        <v>0</v>
      </c>
      <c r="BS45" s="194">
        <v>0</v>
      </c>
      <c r="BT45" s="194">
        <v>0</v>
      </c>
      <c r="BU45" s="194">
        <v>0</v>
      </c>
      <c r="BV45" s="194">
        <v>0</v>
      </c>
      <c r="BW45" s="194">
        <v>0</v>
      </c>
      <c r="BX45" s="194">
        <v>0</v>
      </c>
      <c r="BY45" s="194">
        <v>0</v>
      </c>
      <c r="BZ45" s="194">
        <v>0</v>
      </c>
      <c r="CA45" s="194">
        <v>0</v>
      </c>
      <c r="CB45" s="194">
        <v>0</v>
      </c>
      <c r="CC45" s="195">
        <v>0</v>
      </c>
    </row>
    <row r="46" spans="1:110">
      <c r="A46" s="121" t="s">
        <v>160</v>
      </c>
      <c r="B46" s="67" t="s">
        <v>152</v>
      </c>
      <c r="C46" s="194">
        <v>0</v>
      </c>
      <c r="D46" s="194">
        <v>0</v>
      </c>
      <c r="E46" s="194">
        <v>0</v>
      </c>
      <c r="F46" s="194"/>
      <c r="G46" s="194">
        <v>0</v>
      </c>
      <c r="H46" s="194">
        <v>0</v>
      </c>
      <c r="I46" s="194"/>
      <c r="J46" s="194">
        <f t="shared" si="0"/>
        <v>0</v>
      </c>
      <c r="K46" s="194">
        <v>0</v>
      </c>
      <c r="L46" s="194">
        <v>0</v>
      </c>
      <c r="M46" s="194">
        <v>0</v>
      </c>
      <c r="N46" s="194">
        <v>0</v>
      </c>
      <c r="O46" s="194">
        <v>0</v>
      </c>
      <c r="P46" s="194">
        <v>0</v>
      </c>
      <c r="Q46" s="194">
        <v>0</v>
      </c>
      <c r="R46" s="194">
        <v>0</v>
      </c>
      <c r="S46" s="194">
        <v>0</v>
      </c>
      <c r="T46" s="194">
        <v>0</v>
      </c>
      <c r="U46" s="194">
        <v>0</v>
      </c>
      <c r="V46" s="194">
        <v>0</v>
      </c>
      <c r="W46" s="194">
        <v>0</v>
      </c>
      <c r="X46" s="194">
        <v>0</v>
      </c>
      <c r="Y46" s="194">
        <v>0</v>
      </c>
      <c r="Z46" s="194">
        <v>0</v>
      </c>
      <c r="AA46" s="194">
        <v>0</v>
      </c>
      <c r="AB46" s="194">
        <v>0</v>
      </c>
      <c r="AC46" s="194">
        <v>0</v>
      </c>
      <c r="AD46" s="194">
        <v>0</v>
      </c>
      <c r="AE46" s="194">
        <v>0</v>
      </c>
      <c r="AF46" s="194">
        <v>0</v>
      </c>
      <c r="AG46" s="194">
        <v>0</v>
      </c>
      <c r="AH46" s="194">
        <v>0</v>
      </c>
      <c r="AI46" s="194">
        <v>0</v>
      </c>
      <c r="AJ46" s="194">
        <v>0</v>
      </c>
      <c r="AK46" s="194">
        <v>0</v>
      </c>
      <c r="AL46" s="194">
        <v>0</v>
      </c>
      <c r="AM46" s="194">
        <v>0</v>
      </c>
      <c r="AN46" s="194">
        <v>0</v>
      </c>
      <c r="AO46" s="194">
        <v>0</v>
      </c>
      <c r="AP46" s="194">
        <v>0</v>
      </c>
      <c r="AQ46" s="194">
        <v>0</v>
      </c>
      <c r="AR46" s="194">
        <v>0</v>
      </c>
      <c r="AS46" s="194">
        <v>0</v>
      </c>
      <c r="AT46" s="194">
        <v>0</v>
      </c>
      <c r="AU46" s="194">
        <v>294.62834319306302</v>
      </c>
      <c r="AV46" s="194">
        <v>294.62834319256598</v>
      </c>
      <c r="AW46" s="194">
        <v>294.62834319306302</v>
      </c>
      <c r="AX46" s="194">
        <v>207472.50710201799</v>
      </c>
      <c r="AY46" s="194">
        <v>207472.507103788</v>
      </c>
      <c r="AZ46" s="194">
        <v>207472.50710201799</v>
      </c>
      <c r="BA46" s="194">
        <v>346.443324247004</v>
      </c>
      <c r="BB46" s="194">
        <v>51.932636631154303</v>
      </c>
      <c r="BC46" s="194">
        <v>294.62834319306302</v>
      </c>
      <c r="BD46" s="194">
        <v>294.62834319306302</v>
      </c>
      <c r="BE46" s="194">
        <v>207126.063777784</v>
      </c>
      <c r="BF46" s="194">
        <v>0</v>
      </c>
      <c r="BG46" s="194">
        <v>207126.063777784</v>
      </c>
      <c r="BH46" s="194">
        <v>215927.55338147999</v>
      </c>
      <c r="BI46" s="194">
        <v>215927.55338044299</v>
      </c>
      <c r="BJ46" s="194">
        <v>215927.55338044299</v>
      </c>
      <c r="BK46" s="194">
        <v>215927.55338147999</v>
      </c>
      <c r="BL46" s="194">
        <v>21695.862480674801</v>
      </c>
      <c r="BM46" s="194">
        <v>21695.862480884902</v>
      </c>
      <c r="BN46" s="194">
        <v>21695.862480674801</v>
      </c>
      <c r="BO46" s="194">
        <v>5.16664906240793</v>
      </c>
      <c r="BP46" s="194">
        <v>57.099285693562102</v>
      </c>
      <c r="BQ46" s="194">
        <v>21690.695903415999</v>
      </c>
      <c r="BR46" s="194">
        <v>21690.695903415999</v>
      </c>
      <c r="BS46" s="194">
        <v>21690.695903466902</v>
      </c>
      <c r="BT46" s="194">
        <v>21690.695903415999</v>
      </c>
      <c r="BU46" s="194">
        <v>8991.2446062366198</v>
      </c>
      <c r="BV46" s="194">
        <v>8988.9086350391099</v>
      </c>
      <c r="BW46" s="194">
        <v>8801.4896036958507</v>
      </c>
      <c r="BX46" s="194">
        <v>196.94236269601299</v>
      </c>
      <c r="BY46" s="194">
        <v>12699.4512969141</v>
      </c>
      <c r="BZ46" s="194">
        <v>4.4839848890508103E-3</v>
      </c>
      <c r="CA46" s="194">
        <v>12697.889469576399</v>
      </c>
      <c r="CB46" s="194">
        <v>2.5090310154483298E-3</v>
      </c>
      <c r="CC46" s="195">
        <v>12697.886959874801</v>
      </c>
    </row>
    <row r="47" spans="1:110">
      <c r="A47" s="121" t="s">
        <v>161</v>
      </c>
      <c r="B47" s="67" t="s">
        <v>152</v>
      </c>
      <c r="C47" s="194">
        <v>0</v>
      </c>
      <c r="D47" s="194">
        <v>0</v>
      </c>
      <c r="E47" s="194">
        <v>0</v>
      </c>
      <c r="F47" s="194"/>
      <c r="G47" s="194">
        <v>0</v>
      </c>
      <c r="H47" s="194">
        <v>0</v>
      </c>
      <c r="I47" s="194"/>
      <c r="J47" s="194">
        <f t="shared" si="0"/>
        <v>0</v>
      </c>
      <c r="K47" s="194">
        <v>0</v>
      </c>
      <c r="L47" s="194">
        <v>0</v>
      </c>
      <c r="M47" s="194">
        <v>0</v>
      </c>
      <c r="N47" s="194">
        <v>0</v>
      </c>
      <c r="O47" s="194">
        <v>0</v>
      </c>
      <c r="P47" s="194">
        <v>0</v>
      </c>
      <c r="Q47" s="194">
        <v>0</v>
      </c>
      <c r="R47" s="194">
        <v>0</v>
      </c>
      <c r="S47" s="194">
        <v>0</v>
      </c>
      <c r="T47" s="194">
        <v>0</v>
      </c>
      <c r="U47" s="194">
        <v>0</v>
      </c>
      <c r="V47" s="194">
        <v>0</v>
      </c>
      <c r="W47" s="194">
        <v>0</v>
      </c>
      <c r="X47" s="194">
        <v>0</v>
      </c>
      <c r="Y47" s="194">
        <v>0</v>
      </c>
      <c r="Z47" s="194">
        <v>0</v>
      </c>
      <c r="AA47" s="194">
        <v>0</v>
      </c>
      <c r="AB47" s="194">
        <v>0</v>
      </c>
      <c r="AC47" s="194">
        <v>0</v>
      </c>
      <c r="AD47" s="194">
        <v>0</v>
      </c>
      <c r="AE47" s="194">
        <v>0</v>
      </c>
      <c r="AF47" s="194">
        <v>0</v>
      </c>
      <c r="AG47" s="194">
        <v>0</v>
      </c>
      <c r="AH47" s="194">
        <v>0</v>
      </c>
      <c r="AI47" s="194">
        <v>0</v>
      </c>
      <c r="AJ47" s="194">
        <v>0</v>
      </c>
      <c r="AK47" s="194">
        <v>0</v>
      </c>
      <c r="AL47" s="194">
        <v>0</v>
      </c>
      <c r="AM47" s="194">
        <v>0</v>
      </c>
      <c r="AN47" s="194">
        <v>0</v>
      </c>
      <c r="AO47" s="194">
        <v>0</v>
      </c>
      <c r="AP47" s="194">
        <v>0</v>
      </c>
      <c r="AQ47" s="194">
        <v>0</v>
      </c>
      <c r="AR47" s="194">
        <v>0</v>
      </c>
      <c r="AS47" s="194">
        <v>0</v>
      </c>
      <c r="AT47" s="194">
        <v>0</v>
      </c>
      <c r="AU47" s="194">
        <v>0</v>
      </c>
      <c r="AV47" s="194">
        <v>0</v>
      </c>
      <c r="AW47" s="194">
        <v>0</v>
      </c>
      <c r="AX47" s="194">
        <v>0</v>
      </c>
      <c r="AY47" s="194">
        <v>0</v>
      </c>
      <c r="AZ47" s="194">
        <v>0</v>
      </c>
      <c r="BA47" s="194">
        <v>0</v>
      </c>
      <c r="BB47" s="194">
        <v>0</v>
      </c>
      <c r="BC47" s="194">
        <v>0</v>
      </c>
      <c r="BD47" s="194">
        <v>0</v>
      </c>
      <c r="BE47" s="194">
        <v>0</v>
      </c>
      <c r="BF47" s="194">
        <v>0</v>
      </c>
      <c r="BG47" s="194">
        <v>0</v>
      </c>
      <c r="BH47" s="194">
        <v>16587.783829904802</v>
      </c>
      <c r="BI47" s="194">
        <v>16587.783829748401</v>
      </c>
      <c r="BJ47" s="194">
        <v>16587.783829748401</v>
      </c>
      <c r="BK47" s="194">
        <v>16587.783829904802</v>
      </c>
      <c r="BL47" s="194">
        <v>95421.365010034904</v>
      </c>
      <c r="BM47" s="194">
        <v>95421.365009316301</v>
      </c>
      <c r="BN47" s="194">
        <v>95421.365010034904</v>
      </c>
      <c r="BO47" s="194">
        <v>6.4007035445595601</v>
      </c>
      <c r="BP47" s="194">
        <v>6.4007035445595397</v>
      </c>
      <c r="BQ47" s="194">
        <v>95414.964623429507</v>
      </c>
      <c r="BR47" s="194">
        <v>95414.964623429405</v>
      </c>
      <c r="BS47" s="194">
        <v>95414.964623253996</v>
      </c>
      <c r="BT47" s="194">
        <v>95414.964623429405</v>
      </c>
      <c r="BU47" s="194">
        <v>16939.292624840102</v>
      </c>
      <c r="BV47" s="194">
        <v>16927.127951499398</v>
      </c>
      <c r="BW47" s="194">
        <v>16587.783829904802</v>
      </c>
      <c r="BX47" s="194">
        <v>371.04437106735702</v>
      </c>
      <c r="BY47" s="194">
        <v>78475.671996913006</v>
      </c>
      <c r="BZ47" s="194">
        <v>3.0211418414522498E-8</v>
      </c>
      <c r="CA47" s="194">
        <v>78472.299276182894</v>
      </c>
      <c r="CB47" s="194">
        <v>195.84130276079199</v>
      </c>
      <c r="CC47" s="195">
        <v>78276.457969317693</v>
      </c>
      <c r="CJ47" s="181"/>
    </row>
    <row r="48" spans="1:110">
      <c r="A48" s="121" t="s">
        <v>162</v>
      </c>
      <c r="B48" s="67" t="s">
        <v>152</v>
      </c>
      <c r="C48" s="194">
        <v>0</v>
      </c>
      <c r="D48" s="194">
        <v>0</v>
      </c>
      <c r="E48" s="194">
        <v>0</v>
      </c>
      <c r="F48" s="194"/>
      <c r="G48" s="194">
        <v>0</v>
      </c>
      <c r="H48" s="194">
        <v>0</v>
      </c>
      <c r="I48" s="194"/>
      <c r="J48" s="194">
        <f t="shared" si="0"/>
        <v>507133.44786252198</v>
      </c>
      <c r="K48" s="194">
        <v>507133.44786252198</v>
      </c>
      <c r="L48" s="194">
        <v>0</v>
      </c>
      <c r="M48" s="194">
        <v>0</v>
      </c>
      <c r="N48" s="194">
        <v>0</v>
      </c>
      <c r="O48" s="194">
        <v>0</v>
      </c>
      <c r="P48" s="194">
        <v>0</v>
      </c>
      <c r="Q48" s="194">
        <v>0</v>
      </c>
      <c r="R48" s="194">
        <v>0</v>
      </c>
      <c r="S48" s="194">
        <v>0</v>
      </c>
      <c r="T48" s="194">
        <v>0</v>
      </c>
      <c r="U48" s="194">
        <v>0</v>
      </c>
      <c r="V48" s="194">
        <v>0</v>
      </c>
      <c r="W48" s="194">
        <v>0</v>
      </c>
      <c r="X48" s="194">
        <v>0</v>
      </c>
      <c r="Y48" s="194">
        <v>0</v>
      </c>
      <c r="Z48" s="194">
        <v>0</v>
      </c>
      <c r="AA48" s="194">
        <v>0</v>
      </c>
      <c r="AB48" s="194">
        <v>0</v>
      </c>
      <c r="AC48" s="194">
        <v>0</v>
      </c>
      <c r="AD48" s="194">
        <v>0</v>
      </c>
      <c r="AE48" s="194">
        <v>0</v>
      </c>
      <c r="AF48" s="194">
        <v>0</v>
      </c>
      <c r="AG48" s="194">
        <v>0</v>
      </c>
      <c r="AH48" s="194">
        <v>0</v>
      </c>
      <c r="AI48" s="194">
        <v>0</v>
      </c>
      <c r="AJ48" s="194">
        <v>0</v>
      </c>
      <c r="AK48" s="194">
        <v>0</v>
      </c>
      <c r="AL48" s="194">
        <v>0</v>
      </c>
      <c r="AM48" s="194">
        <v>0</v>
      </c>
      <c r="AN48" s="194">
        <v>0</v>
      </c>
      <c r="AO48" s="194">
        <v>0</v>
      </c>
      <c r="AP48" s="194">
        <v>0</v>
      </c>
      <c r="AQ48" s="194">
        <v>0</v>
      </c>
      <c r="AR48" s="194">
        <v>0</v>
      </c>
      <c r="AS48" s="194">
        <v>0</v>
      </c>
      <c r="AT48" s="194">
        <v>0</v>
      </c>
      <c r="AU48" s="194">
        <v>0</v>
      </c>
      <c r="AV48" s="194">
        <v>0</v>
      </c>
      <c r="AW48" s="194">
        <v>0</v>
      </c>
      <c r="AX48" s="194">
        <v>0</v>
      </c>
      <c r="AY48" s="194">
        <v>0</v>
      </c>
      <c r="AZ48" s="194">
        <v>0</v>
      </c>
      <c r="BA48" s="194">
        <v>0</v>
      </c>
      <c r="BB48" s="194">
        <v>0</v>
      </c>
      <c r="BC48" s="194">
        <v>0</v>
      </c>
      <c r="BD48" s="194">
        <v>0</v>
      </c>
      <c r="BE48" s="194">
        <v>0</v>
      </c>
      <c r="BF48" s="194">
        <v>0</v>
      </c>
      <c r="BG48" s="194">
        <v>0</v>
      </c>
      <c r="BH48" s="194">
        <v>0</v>
      </c>
      <c r="BI48" s="194">
        <v>0</v>
      </c>
      <c r="BJ48" s="194">
        <v>0</v>
      </c>
      <c r="BK48" s="194">
        <v>0</v>
      </c>
      <c r="BL48" s="194">
        <v>0</v>
      </c>
      <c r="BM48" s="194">
        <v>0</v>
      </c>
      <c r="BN48" s="194">
        <v>0</v>
      </c>
      <c r="BO48" s="194">
        <v>0</v>
      </c>
      <c r="BP48" s="194">
        <v>0</v>
      </c>
      <c r="BQ48" s="194">
        <v>0</v>
      </c>
      <c r="BR48" s="194">
        <v>0</v>
      </c>
      <c r="BS48" s="194">
        <v>0</v>
      </c>
      <c r="BT48" s="194">
        <v>0</v>
      </c>
      <c r="BU48" s="194">
        <v>0</v>
      </c>
      <c r="BV48" s="194">
        <v>0</v>
      </c>
      <c r="BW48" s="194">
        <v>0</v>
      </c>
      <c r="BX48" s="194">
        <v>0</v>
      </c>
      <c r="BY48" s="194">
        <v>0</v>
      </c>
      <c r="BZ48" s="194">
        <v>0</v>
      </c>
      <c r="CA48" s="194">
        <v>0</v>
      </c>
      <c r="CB48" s="194">
        <v>0</v>
      </c>
      <c r="CC48" s="195">
        <v>0</v>
      </c>
    </row>
    <row r="49" spans="1:107">
      <c r="A49" s="121" t="s">
        <v>163</v>
      </c>
      <c r="B49" s="67" t="s">
        <v>152</v>
      </c>
      <c r="C49" s="194">
        <v>0</v>
      </c>
      <c r="D49" s="194">
        <v>0</v>
      </c>
      <c r="E49" s="194">
        <v>0</v>
      </c>
      <c r="F49" s="194"/>
      <c r="G49" s="194">
        <v>0</v>
      </c>
      <c r="H49" s="194">
        <v>0</v>
      </c>
      <c r="I49" s="194"/>
      <c r="J49" s="194">
        <f t="shared" si="0"/>
        <v>0</v>
      </c>
      <c r="K49" s="194">
        <v>0</v>
      </c>
      <c r="L49" s="194">
        <v>0</v>
      </c>
      <c r="M49" s="194">
        <v>0</v>
      </c>
      <c r="N49" s="194">
        <v>0</v>
      </c>
      <c r="O49" s="194">
        <v>0</v>
      </c>
      <c r="P49" s="194">
        <v>0</v>
      </c>
      <c r="Q49" s="194">
        <v>0</v>
      </c>
      <c r="R49" s="194">
        <v>5018.6744678915502</v>
      </c>
      <c r="S49" s="194">
        <v>5045.6478157732199</v>
      </c>
      <c r="T49" s="194">
        <v>5045.6478157732199</v>
      </c>
      <c r="U49" s="194">
        <v>5045.6478157732199</v>
      </c>
      <c r="V49" s="194">
        <v>5045.6478157732199</v>
      </c>
      <c r="W49" s="194">
        <v>5045.6478157732199</v>
      </c>
      <c r="X49" s="194">
        <v>5018.6744678915502</v>
      </c>
      <c r="Y49" s="194">
        <v>0.232027112438324</v>
      </c>
      <c r="Z49" s="194">
        <v>5018.4424407790902</v>
      </c>
      <c r="AA49" s="194">
        <v>5018.4424407790902</v>
      </c>
      <c r="AB49" s="194">
        <v>5018.4424407790902</v>
      </c>
      <c r="AC49" s="194">
        <v>9.8192981734368506E-3</v>
      </c>
      <c r="AD49" s="194">
        <v>5018.4325330599404</v>
      </c>
      <c r="AE49" s="194">
        <v>5018.4325330599404</v>
      </c>
      <c r="AF49" s="194">
        <v>97945.482978731598</v>
      </c>
      <c r="AG49" s="194">
        <v>97945.482979293301</v>
      </c>
      <c r="AH49" s="194">
        <v>97945.482979293301</v>
      </c>
      <c r="AI49" s="194">
        <v>97963.653986990001</v>
      </c>
      <c r="AJ49" s="194">
        <v>97963.653986990001</v>
      </c>
      <c r="AK49" s="194">
        <v>97945.482979293403</v>
      </c>
      <c r="AL49" s="194">
        <v>97945.482978731394</v>
      </c>
      <c r="AM49" s="194">
        <v>97509.553709483793</v>
      </c>
      <c r="AN49" s="194">
        <v>92927.050445671397</v>
      </c>
      <c r="AO49" s="194">
        <v>92927.050445671397</v>
      </c>
      <c r="AP49" s="194">
        <v>4573.1980689747897</v>
      </c>
      <c r="AQ49" s="194">
        <v>435.92926927036399</v>
      </c>
      <c r="AR49" s="194">
        <v>435.92926927036399</v>
      </c>
      <c r="AS49" s="194">
        <v>8.0277592158920599E-15</v>
      </c>
      <c r="AT49" s="194">
        <v>435.92926927152399</v>
      </c>
      <c r="AU49" s="194">
        <v>435.92926927164802</v>
      </c>
      <c r="AV49" s="194">
        <v>435.92926927228302</v>
      </c>
      <c r="AW49" s="194">
        <v>435.92926927164802</v>
      </c>
      <c r="AX49" s="194">
        <v>435.92926927164802</v>
      </c>
      <c r="AY49" s="194">
        <v>435.92926927228302</v>
      </c>
      <c r="AZ49" s="194">
        <v>435.92926927164802</v>
      </c>
      <c r="BA49" s="194">
        <v>1.2480200362965301E-10</v>
      </c>
      <c r="BB49" s="194">
        <v>7.58713235235066E-21</v>
      </c>
      <c r="BC49" s="194">
        <v>1.2480937672904699E-10</v>
      </c>
      <c r="BD49" s="194">
        <v>1.2480937672904699E-10</v>
      </c>
      <c r="BE49" s="194">
        <v>435.92926927155401</v>
      </c>
      <c r="BF49" s="194">
        <v>4573.1980689747897</v>
      </c>
      <c r="BG49" s="194">
        <v>5009.1273382463396</v>
      </c>
      <c r="BH49" s="194">
        <v>237160.37323243299</v>
      </c>
      <c r="BI49" s="194">
        <v>237160.37324010301</v>
      </c>
      <c r="BJ49" s="194">
        <v>237160.37324010301</v>
      </c>
      <c r="BK49" s="194">
        <v>237160.37323243299</v>
      </c>
      <c r="BL49" s="194">
        <v>239200.281357022</v>
      </c>
      <c r="BM49" s="194">
        <v>239200.28135582799</v>
      </c>
      <c r="BN49" s="194">
        <v>239200.281357022</v>
      </c>
      <c r="BO49" s="194">
        <v>5.1886233785770299</v>
      </c>
      <c r="BP49" s="194">
        <v>5.4304697891888098</v>
      </c>
      <c r="BQ49" s="194">
        <v>239195.09352889599</v>
      </c>
      <c r="BR49" s="194">
        <v>239195.093528895</v>
      </c>
      <c r="BS49" s="194">
        <v>239195.093528314</v>
      </c>
      <c r="BT49" s="194">
        <v>239195.093528895</v>
      </c>
      <c r="BU49" s="194">
        <v>237299.243122499</v>
      </c>
      <c r="BV49" s="194">
        <v>237141.219227441</v>
      </c>
      <c r="BW49" s="194">
        <v>232151.24589418701</v>
      </c>
      <c r="BX49" s="194">
        <v>5197.3160807486402</v>
      </c>
      <c r="BY49" s="194">
        <v>1895.8504065836501</v>
      </c>
      <c r="BZ49" s="194">
        <v>1874.7245451182901</v>
      </c>
      <c r="CA49" s="194">
        <v>8.5441892371613101E-9</v>
      </c>
      <c r="CB49" s="194">
        <v>4.11972501405987E-29</v>
      </c>
      <c r="CC49" s="195">
        <v>8.5441892367100202E-9</v>
      </c>
      <c r="CK49" s="181"/>
      <c r="CM49" s="181"/>
      <c r="CZ49" s="181"/>
      <c r="DC49" s="181"/>
    </row>
    <row r="50" spans="1:107">
      <c r="A50" s="121" t="s">
        <v>164</v>
      </c>
      <c r="B50" s="67" t="s">
        <v>152</v>
      </c>
      <c r="C50" s="194">
        <v>0</v>
      </c>
      <c r="D50" s="194">
        <v>0</v>
      </c>
      <c r="E50" s="194">
        <v>0</v>
      </c>
      <c r="F50" s="194"/>
      <c r="G50" s="194">
        <v>0</v>
      </c>
      <c r="H50" s="194">
        <v>0</v>
      </c>
      <c r="I50" s="194"/>
      <c r="J50" s="194">
        <f t="shared" si="0"/>
        <v>0</v>
      </c>
      <c r="K50" s="194">
        <v>0</v>
      </c>
      <c r="L50" s="194">
        <v>0</v>
      </c>
      <c r="M50" s="194">
        <v>0</v>
      </c>
      <c r="N50" s="194">
        <v>0</v>
      </c>
      <c r="O50" s="194">
        <v>0</v>
      </c>
      <c r="P50" s="194">
        <v>0</v>
      </c>
      <c r="Q50" s="194">
        <v>0</v>
      </c>
      <c r="R50" s="194">
        <v>0</v>
      </c>
      <c r="S50" s="194">
        <v>0</v>
      </c>
      <c r="T50" s="194">
        <v>0</v>
      </c>
      <c r="U50" s="194">
        <v>0</v>
      </c>
      <c r="V50" s="194">
        <v>0</v>
      </c>
      <c r="W50" s="194">
        <v>0</v>
      </c>
      <c r="X50" s="194">
        <v>0</v>
      </c>
      <c r="Y50" s="194">
        <v>0</v>
      </c>
      <c r="Z50" s="194">
        <v>0</v>
      </c>
      <c r="AA50" s="194">
        <v>0</v>
      </c>
      <c r="AB50" s="194">
        <v>0</v>
      </c>
      <c r="AC50" s="194">
        <v>0</v>
      </c>
      <c r="AD50" s="194">
        <v>0</v>
      </c>
      <c r="AE50" s="194">
        <v>0</v>
      </c>
      <c r="AF50" s="194">
        <v>0</v>
      </c>
      <c r="AG50" s="194">
        <v>0</v>
      </c>
      <c r="AH50" s="194">
        <v>0</v>
      </c>
      <c r="AI50" s="194">
        <v>0</v>
      </c>
      <c r="AJ50" s="194">
        <v>0</v>
      </c>
      <c r="AK50" s="194">
        <v>0</v>
      </c>
      <c r="AL50" s="194">
        <v>0</v>
      </c>
      <c r="AM50" s="194">
        <v>0</v>
      </c>
      <c r="AN50" s="194">
        <v>0</v>
      </c>
      <c r="AO50" s="194">
        <v>0</v>
      </c>
      <c r="AP50" s="194">
        <v>0</v>
      </c>
      <c r="AQ50" s="194">
        <v>0</v>
      </c>
      <c r="AR50" s="194">
        <v>0</v>
      </c>
      <c r="AS50" s="194">
        <v>0</v>
      </c>
      <c r="AT50" s="194">
        <v>0</v>
      </c>
      <c r="AU50" s="194">
        <v>0</v>
      </c>
      <c r="AV50" s="194">
        <v>0</v>
      </c>
      <c r="AW50" s="194">
        <v>0</v>
      </c>
      <c r="AX50" s="194">
        <v>0</v>
      </c>
      <c r="AY50" s="194">
        <v>0</v>
      </c>
      <c r="AZ50" s="194">
        <v>0</v>
      </c>
      <c r="BA50" s="194">
        <v>0</v>
      </c>
      <c r="BB50" s="194">
        <v>0</v>
      </c>
      <c r="BC50" s="194">
        <v>0</v>
      </c>
      <c r="BD50" s="194">
        <v>0</v>
      </c>
      <c r="BE50" s="194">
        <v>0</v>
      </c>
      <c r="BF50" s="194">
        <v>0</v>
      </c>
      <c r="BG50" s="194">
        <v>0</v>
      </c>
      <c r="BH50" s="194">
        <v>25744.001951001901</v>
      </c>
      <c r="BI50" s="194">
        <v>25744.0019509091</v>
      </c>
      <c r="BJ50" s="194">
        <v>25744.0019509091</v>
      </c>
      <c r="BK50" s="194">
        <v>25744.001951001901</v>
      </c>
      <c r="BL50" s="194">
        <v>30204.738139541201</v>
      </c>
      <c r="BM50" s="194">
        <v>30204.7381385099</v>
      </c>
      <c r="BN50" s="194">
        <v>30204.738139541201</v>
      </c>
      <c r="BO50" s="194">
        <v>1.9171366788534301</v>
      </c>
      <c r="BP50" s="194">
        <v>1.9171366788534301</v>
      </c>
      <c r="BQ50" s="194">
        <v>30202.821103194099</v>
      </c>
      <c r="BR50" s="194">
        <v>30202.821103194099</v>
      </c>
      <c r="BS50" s="194">
        <v>30202.8211027371</v>
      </c>
      <c r="BT50" s="194">
        <v>30202.821103194099</v>
      </c>
      <c r="BU50" s="194">
        <v>26309.2428656591</v>
      </c>
      <c r="BV50" s="194">
        <v>26291.242892521401</v>
      </c>
      <c r="BW50" s="194">
        <v>25744.001951001799</v>
      </c>
      <c r="BX50" s="194">
        <v>576.32369812694901</v>
      </c>
      <c r="BY50" s="194">
        <v>3893.5782374762298</v>
      </c>
      <c r="BZ50" s="194">
        <v>3878.2934890708002</v>
      </c>
      <c r="CA50" s="194">
        <v>8.3770146605188902</v>
      </c>
      <c r="CB50" s="194">
        <v>5.0540627580977997E-13</v>
      </c>
      <c r="CC50" s="195">
        <v>8.3770146600759094</v>
      </c>
      <c r="CM50" s="181"/>
    </row>
    <row r="51" spans="1:107">
      <c r="A51" s="121" t="s">
        <v>165</v>
      </c>
      <c r="B51" s="67" t="s">
        <v>152</v>
      </c>
      <c r="C51" s="194">
        <v>0</v>
      </c>
      <c r="D51" s="194">
        <v>0</v>
      </c>
      <c r="E51" s="194">
        <v>0</v>
      </c>
      <c r="F51" s="194"/>
      <c r="G51" s="194">
        <v>0</v>
      </c>
      <c r="H51" s="194">
        <v>0</v>
      </c>
      <c r="I51" s="194"/>
      <c r="J51" s="194">
        <f t="shared" si="0"/>
        <v>0</v>
      </c>
      <c r="K51" s="194">
        <v>0</v>
      </c>
      <c r="L51" s="194">
        <v>0</v>
      </c>
      <c r="M51" s="194">
        <v>0</v>
      </c>
      <c r="N51" s="194">
        <v>0</v>
      </c>
      <c r="O51" s="194">
        <v>0</v>
      </c>
      <c r="P51" s="194">
        <v>0</v>
      </c>
      <c r="Q51" s="194">
        <v>0</v>
      </c>
      <c r="R51" s="194">
        <v>0</v>
      </c>
      <c r="S51" s="194">
        <v>0</v>
      </c>
      <c r="T51" s="194">
        <v>0</v>
      </c>
      <c r="U51" s="194">
        <v>0</v>
      </c>
      <c r="V51" s="194">
        <v>0</v>
      </c>
      <c r="W51" s="194">
        <v>0</v>
      </c>
      <c r="X51" s="194">
        <v>0</v>
      </c>
      <c r="Y51" s="194">
        <v>0</v>
      </c>
      <c r="Z51" s="194">
        <v>0</v>
      </c>
      <c r="AA51" s="194">
        <v>0</v>
      </c>
      <c r="AB51" s="194">
        <v>0</v>
      </c>
      <c r="AC51" s="194">
        <v>0</v>
      </c>
      <c r="AD51" s="194">
        <v>0</v>
      </c>
      <c r="AE51" s="194">
        <v>0</v>
      </c>
      <c r="AF51" s="194">
        <v>0</v>
      </c>
      <c r="AG51" s="194">
        <v>0</v>
      </c>
      <c r="AH51" s="194">
        <v>0</v>
      </c>
      <c r="AI51" s="194">
        <v>0</v>
      </c>
      <c r="AJ51" s="194">
        <v>0</v>
      </c>
      <c r="AK51" s="194">
        <v>0</v>
      </c>
      <c r="AL51" s="194">
        <v>0</v>
      </c>
      <c r="AM51" s="194">
        <v>0</v>
      </c>
      <c r="AN51" s="194">
        <v>0</v>
      </c>
      <c r="AO51" s="194">
        <v>0</v>
      </c>
      <c r="AP51" s="194">
        <v>0</v>
      </c>
      <c r="AQ51" s="194">
        <v>0</v>
      </c>
      <c r="AR51" s="194">
        <v>0</v>
      </c>
      <c r="AS51" s="194">
        <v>0</v>
      </c>
      <c r="AT51" s="194">
        <v>0</v>
      </c>
      <c r="AU51" s="194">
        <v>0</v>
      </c>
      <c r="AV51" s="194">
        <v>0</v>
      </c>
      <c r="AW51" s="194">
        <v>0</v>
      </c>
      <c r="AX51" s="194">
        <v>0</v>
      </c>
      <c r="AY51" s="194">
        <v>0</v>
      </c>
      <c r="AZ51" s="194">
        <v>0</v>
      </c>
      <c r="BA51" s="194">
        <v>0</v>
      </c>
      <c r="BB51" s="194">
        <v>0</v>
      </c>
      <c r="BC51" s="194">
        <v>0</v>
      </c>
      <c r="BD51" s="194">
        <v>0</v>
      </c>
      <c r="BE51" s="194">
        <v>0</v>
      </c>
      <c r="BF51" s="194">
        <v>0</v>
      </c>
      <c r="BG51" s="194">
        <v>0</v>
      </c>
      <c r="BH51" s="194">
        <v>18066.983882338802</v>
      </c>
      <c r="BI51" s="194">
        <v>18066.9838825431</v>
      </c>
      <c r="BJ51" s="194">
        <v>18066.9838825431</v>
      </c>
      <c r="BK51" s="194">
        <v>18066.983882338802</v>
      </c>
      <c r="BL51" s="194">
        <v>31773.1505900796</v>
      </c>
      <c r="BM51" s="194">
        <v>31773.1505902137</v>
      </c>
      <c r="BN51" s="194">
        <v>31773.1505900796</v>
      </c>
      <c r="BO51" s="194">
        <v>1.8850654109542</v>
      </c>
      <c r="BP51" s="194">
        <v>1.8850654109542</v>
      </c>
      <c r="BQ51" s="194">
        <v>31771.265630219299</v>
      </c>
      <c r="BR51" s="194">
        <v>31771.265630219299</v>
      </c>
      <c r="BS51" s="194">
        <v>31771.265630227699</v>
      </c>
      <c r="BT51" s="194">
        <v>31771.265630219299</v>
      </c>
      <c r="BU51" s="194">
        <v>18455.243325423799</v>
      </c>
      <c r="BV51" s="194">
        <v>18432.491950061401</v>
      </c>
      <c r="BW51" s="194">
        <v>18066.983882338802</v>
      </c>
      <c r="BX51" s="194">
        <v>404.25194794887102</v>
      </c>
      <c r="BY51" s="194">
        <v>13316.022304526099</v>
      </c>
      <c r="BZ51" s="194">
        <v>114.570666316016</v>
      </c>
      <c r="CA51" s="194">
        <v>13197.701906607899</v>
      </c>
      <c r="CB51" s="194">
        <v>2.6122161602499302E-4</v>
      </c>
      <c r="CC51" s="195">
        <v>13197.701644689199</v>
      </c>
    </row>
    <row r="52" spans="1:107">
      <c r="A52" s="121" t="s">
        <v>166</v>
      </c>
      <c r="B52" s="67" t="s">
        <v>152</v>
      </c>
      <c r="C52" s="194">
        <v>0</v>
      </c>
      <c r="D52" s="194">
        <v>0</v>
      </c>
      <c r="E52" s="194">
        <v>0</v>
      </c>
      <c r="F52" s="194"/>
      <c r="G52" s="194">
        <v>0</v>
      </c>
      <c r="H52" s="194">
        <v>0</v>
      </c>
      <c r="I52" s="194"/>
      <c r="J52" s="194">
        <f t="shared" si="0"/>
        <v>0</v>
      </c>
      <c r="K52" s="194">
        <v>0</v>
      </c>
      <c r="L52" s="194">
        <v>0</v>
      </c>
      <c r="M52" s="194">
        <v>0</v>
      </c>
      <c r="N52" s="194">
        <v>0</v>
      </c>
      <c r="O52" s="194">
        <v>0</v>
      </c>
      <c r="P52" s="194">
        <v>0</v>
      </c>
      <c r="Q52" s="194">
        <v>0</v>
      </c>
      <c r="R52" s="194">
        <v>0</v>
      </c>
      <c r="S52" s="194">
        <v>0</v>
      </c>
      <c r="T52" s="194">
        <v>0</v>
      </c>
      <c r="U52" s="194">
        <v>0</v>
      </c>
      <c r="V52" s="194">
        <v>0</v>
      </c>
      <c r="W52" s="194">
        <v>0</v>
      </c>
      <c r="X52" s="194">
        <v>0</v>
      </c>
      <c r="Y52" s="194">
        <v>0</v>
      </c>
      <c r="Z52" s="194">
        <v>0</v>
      </c>
      <c r="AA52" s="194">
        <v>0</v>
      </c>
      <c r="AB52" s="194">
        <v>0</v>
      </c>
      <c r="AC52" s="194">
        <v>0</v>
      </c>
      <c r="AD52" s="194">
        <v>0</v>
      </c>
      <c r="AE52" s="194">
        <v>0</v>
      </c>
      <c r="AF52" s="194">
        <v>0</v>
      </c>
      <c r="AG52" s="194">
        <v>0</v>
      </c>
      <c r="AH52" s="194">
        <v>0</v>
      </c>
      <c r="AI52" s="194">
        <v>0</v>
      </c>
      <c r="AJ52" s="194">
        <v>0</v>
      </c>
      <c r="AK52" s="194">
        <v>0</v>
      </c>
      <c r="AL52" s="194">
        <v>0</v>
      </c>
      <c r="AM52" s="194">
        <v>0</v>
      </c>
      <c r="AN52" s="194">
        <v>0</v>
      </c>
      <c r="AO52" s="194">
        <v>0</v>
      </c>
      <c r="AP52" s="194">
        <v>0</v>
      </c>
      <c r="AQ52" s="194">
        <v>0</v>
      </c>
      <c r="AR52" s="194">
        <v>0</v>
      </c>
      <c r="AS52" s="194">
        <v>0</v>
      </c>
      <c r="AT52" s="194">
        <v>0</v>
      </c>
      <c r="AU52" s="194">
        <v>0</v>
      </c>
      <c r="AV52" s="194">
        <v>0</v>
      </c>
      <c r="AW52" s="194">
        <v>0</v>
      </c>
      <c r="AX52" s="194">
        <v>0</v>
      </c>
      <c r="AY52" s="194">
        <v>0</v>
      </c>
      <c r="AZ52" s="194">
        <v>0</v>
      </c>
      <c r="BA52" s="194">
        <v>0</v>
      </c>
      <c r="BB52" s="194">
        <v>0</v>
      </c>
      <c r="BC52" s="194">
        <v>0</v>
      </c>
      <c r="BD52" s="194">
        <v>0</v>
      </c>
      <c r="BE52" s="194">
        <v>0</v>
      </c>
      <c r="BF52" s="194">
        <v>0</v>
      </c>
      <c r="BG52" s="194">
        <v>0</v>
      </c>
      <c r="BH52" s="194">
        <v>736.039721244764</v>
      </c>
      <c r="BI52" s="194">
        <v>736.03972124292204</v>
      </c>
      <c r="BJ52" s="194">
        <v>736.03972124292204</v>
      </c>
      <c r="BK52" s="194">
        <v>736.039721244764</v>
      </c>
      <c r="BL52" s="194">
        <v>20307.7267029049</v>
      </c>
      <c r="BM52" s="194">
        <v>20307.726702907701</v>
      </c>
      <c r="BN52" s="194">
        <v>20307.7267029049</v>
      </c>
      <c r="BO52" s="194">
        <v>1.24668670937837</v>
      </c>
      <c r="BP52" s="194">
        <v>1.24668670937836</v>
      </c>
      <c r="BQ52" s="194">
        <v>20306.480083654998</v>
      </c>
      <c r="BR52" s="194">
        <v>20306.480083654998</v>
      </c>
      <c r="BS52" s="194">
        <v>20306.480083876399</v>
      </c>
      <c r="BT52" s="194">
        <v>20306.480083654998</v>
      </c>
      <c r="BU52" s="194">
        <v>751.78357161967403</v>
      </c>
      <c r="BV52" s="194">
        <v>751.32182334828303</v>
      </c>
      <c r="BW52" s="194">
        <v>736.03972124476502</v>
      </c>
      <c r="BX52" s="194">
        <v>16.467412624360499</v>
      </c>
      <c r="BY52" s="194">
        <v>19554.696511614398</v>
      </c>
      <c r="BZ52" s="194">
        <v>8.5882528509742201E-19</v>
      </c>
      <c r="CA52" s="194">
        <v>19554.5434337201</v>
      </c>
      <c r="CB52" s="194">
        <v>19554.543428896701</v>
      </c>
      <c r="CC52" s="195">
        <v>7.8494755077627093E-6</v>
      </c>
      <c r="CJ52" s="181"/>
      <c r="DC52" s="181"/>
    </row>
    <row r="53" spans="1:107">
      <c r="A53" s="121" t="s">
        <v>167</v>
      </c>
      <c r="B53" s="67" t="s">
        <v>152</v>
      </c>
      <c r="C53" s="194">
        <v>0</v>
      </c>
      <c r="D53" s="194">
        <v>0</v>
      </c>
      <c r="E53" s="194">
        <v>0</v>
      </c>
      <c r="F53" s="194"/>
      <c r="G53" s="194">
        <v>0</v>
      </c>
      <c r="H53" s="194">
        <v>0</v>
      </c>
      <c r="I53" s="194"/>
      <c r="J53" s="194">
        <f t="shared" si="0"/>
        <v>0</v>
      </c>
      <c r="K53" s="194">
        <v>0</v>
      </c>
      <c r="L53" s="194">
        <v>0</v>
      </c>
      <c r="M53" s="194">
        <v>0</v>
      </c>
      <c r="N53" s="194">
        <v>0</v>
      </c>
      <c r="O53" s="194">
        <v>0</v>
      </c>
      <c r="P53" s="194">
        <v>0</v>
      </c>
      <c r="Q53" s="194">
        <v>0</v>
      </c>
      <c r="R53" s="194">
        <v>0</v>
      </c>
      <c r="S53" s="194">
        <v>0</v>
      </c>
      <c r="T53" s="194">
        <v>0</v>
      </c>
      <c r="U53" s="194">
        <v>0</v>
      </c>
      <c r="V53" s="194">
        <v>0</v>
      </c>
      <c r="W53" s="194">
        <v>0</v>
      </c>
      <c r="X53" s="194">
        <v>0</v>
      </c>
      <c r="Y53" s="194">
        <v>0</v>
      </c>
      <c r="Z53" s="194">
        <v>0</v>
      </c>
      <c r="AA53" s="194">
        <v>0</v>
      </c>
      <c r="AB53" s="194">
        <v>0</v>
      </c>
      <c r="AC53" s="194">
        <v>0</v>
      </c>
      <c r="AD53" s="194">
        <v>0</v>
      </c>
      <c r="AE53" s="194">
        <v>0</v>
      </c>
      <c r="AF53" s="194">
        <v>0</v>
      </c>
      <c r="AG53" s="194">
        <v>0</v>
      </c>
      <c r="AH53" s="194">
        <v>0</v>
      </c>
      <c r="AI53" s="194">
        <v>0</v>
      </c>
      <c r="AJ53" s="194">
        <v>0</v>
      </c>
      <c r="AK53" s="194">
        <v>0</v>
      </c>
      <c r="AL53" s="194">
        <v>0</v>
      </c>
      <c r="AM53" s="194">
        <v>0</v>
      </c>
      <c r="AN53" s="194">
        <v>0</v>
      </c>
      <c r="AO53" s="194">
        <v>0</v>
      </c>
      <c r="AP53" s="194">
        <v>0</v>
      </c>
      <c r="AQ53" s="194">
        <v>0</v>
      </c>
      <c r="AR53" s="194">
        <v>0</v>
      </c>
      <c r="AS53" s="194">
        <v>0</v>
      </c>
      <c r="AT53" s="194">
        <v>0</v>
      </c>
      <c r="AU53" s="194">
        <v>0</v>
      </c>
      <c r="AV53" s="194">
        <v>0</v>
      </c>
      <c r="AW53" s="194">
        <v>0</v>
      </c>
      <c r="AX53" s="194">
        <v>0</v>
      </c>
      <c r="AY53" s="194">
        <v>0</v>
      </c>
      <c r="AZ53" s="194">
        <v>0</v>
      </c>
      <c r="BA53" s="194">
        <v>0</v>
      </c>
      <c r="BB53" s="194">
        <v>0</v>
      </c>
      <c r="BC53" s="194">
        <v>0</v>
      </c>
      <c r="BD53" s="194">
        <v>0</v>
      </c>
      <c r="BE53" s="194">
        <v>0</v>
      </c>
      <c r="BF53" s="194">
        <v>0</v>
      </c>
      <c r="BG53" s="194">
        <v>0</v>
      </c>
      <c r="BH53" s="194">
        <v>14.928821150747501</v>
      </c>
      <c r="BI53" s="194">
        <v>14.928821151122699</v>
      </c>
      <c r="BJ53" s="194">
        <v>14.928821151122699</v>
      </c>
      <c r="BK53" s="194">
        <v>14.928821150747501</v>
      </c>
      <c r="BL53" s="194">
        <v>4885.0658476703802</v>
      </c>
      <c r="BM53" s="194">
        <v>4885.0658476653198</v>
      </c>
      <c r="BN53" s="194">
        <v>4885.0658476703802</v>
      </c>
      <c r="BO53" s="194">
        <v>0.30428129510906599</v>
      </c>
      <c r="BP53" s="194">
        <v>0.30428129510906599</v>
      </c>
      <c r="BQ53" s="194">
        <v>4884.7615826024903</v>
      </c>
      <c r="BR53" s="194">
        <v>4884.7615826024903</v>
      </c>
      <c r="BS53" s="194">
        <v>4884.7615825697503</v>
      </c>
      <c r="BT53" s="194">
        <v>4884.7615826024903</v>
      </c>
      <c r="BU53" s="194">
        <v>15.2371948546374</v>
      </c>
      <c r="BV53" s="194">
        <v>15.234937251946601</v>
      </c>
      <c r="BW53" s="194">
        <v>14.928821150747501</v>
      </c>
      <c r="BX53" s="194">
        <v>0.333848182007351</v>
      </c>
      <c r="BY53" s="194">
        <v>4869.5243876428403</v>
      </c>
      <c r="BZ53" s="194">
        <v>3.48342896104024E-29</v>
      </c>
      <c r="CA53" s="194">
        <v>4869.5173732734802</v>
      </c>
      <c r="CB53" s="194">
        <v>4869.5173740270902</v>
      </c>
      <c r="CC53" s="195">
        <v>7.3275210894301702E-29</v>
      </c>
      <c r="CJ53" s="181"/>
      <c r="DC53" s="181"/>
    </row>
    <row r="54" spans="1:107">
      <c r="A54" s="182" t="s">
        <v>513</v>
      </c>
      <c r="B54" s="183"/>
      <c r="C54" s="188"/>
      <c r="D54" s="188"/>
      <c r="E54" s="188"/>
      <c r="F54" s="188"/>
      <c r="G54" s="188"/>
      <c r="H54" s="188"/>
      <c r="I54" s="188">
        <v>0</v>
      </c>
      <c r="J54" s="188">
        <f t="shared" si="0"/>
        <v>0</v>
      </c>
      <c r="K54" s="188"/>
      <c r="L54" s="188"/>
      <c r="M54" s="188"/>
      <c r="N54" s="188"/>
      <c r="O54" s="188"/>
      <c r="P54" s="188"/>
      <c r="Q54" s="188"/>
      <c r="R54" s="188"/>
      <c r="S54" s="188"/>
      <c r="T54" s="188"/>
      <c r="U54" s="188"/>
      <c r="V54" s="188"/>
      <c r="W54" s="188"/>
      <c r="X54" s="188"/>
      <c r="Y54" s="188"/>
      <c r="Z54" s="188"/>
      <c r="AA54" s="188"/>
      <c r="AB54" s="188"/>
      <c r="AC54" s="188"/>
      <c r="AD54" s="188"/>
      <c r="AE54" s="188"/>
      <c r="AF54" s="188"/>
      <c r="AG54" s="188"/>
      <c r="AH54" s="188"/>
      <c r="AI54" s="188"/>
      <c r="AJ54" s="188"/>
      <c r="AK54" s="188"/>
      <c r="AL54" s="188"/>
      <c r="AM54" s="188"/>
      <c r="AN54" s="188"/>
      <c r="AO54" s="188"/>
      <c r="AP54" s="188"/>
      <c r="AQ54" s="188"/>
      <c r="AR54" s="188"/>
      <c r="AS54" s="188"/>
      <c r="AT54" s="188"/>
      <c r="AU54" s="188"/>
      <c r="AV54" s="188"/>
      <c r="AW54" s="188"/>
      <c r="AX54" s="188"/>
      <c r="AY54" s="188"/>
      <c r="AZ54" s="188"/>
      <c r="BA54" s="188"/>
      <c r="BB54" s="188"/>
      <c r="BC54" s="188"/>
      <c r="BD54" s="188"/>
      <c r="BE54" s="188"/>
      <c r="BF54" s="188"/>
      <c r="BG54" s="188"/>
      <c r="BH54" s="188"/>
      <c r="BI54" s="188"/>
      <c r="BJ54" s="188"/>
      <c r="BK54" s="188"/>
      <c r="BL54" s="188"/>
      <c r="BM54" s="188"/>
      <c r="BN54" s="188"/>
      <c r="BO54" s="188"/>
      <c r="BP54" s="188"/>
      <c r="BQ54" s="188"/>
      <c r="BR54" s="188"/>
      <c r="BS54" s="188"/>
      <c r="BT54" s="188"/>
      <c r="BU54" s="188"/>
      <c r="BV54" s="188"/>
      <c r="BW54" s="188"/>
      <c r="BX54" s="188"/>
      <c r="BY54" s="188"/>
      <c r="BZ54" s="188"/>
      <c r="CA54" s="188"/>
      <c r="CB54" s="188"/>
      <c r="CC54" s="189"/>
    </row>
    <row r="55" spans="1:107">
      <c r="A55" s="121" t="s">
        <v>68</v>
      </c>
      <c r="B55" s="67"/>
      <c r="C55" s="190">
        <v>0.99035688486121798</v>
      </c>
      <c r="D55" s="190">
        <v>0.99035688486121798</v>
      </c>
      <c r="E55" s="190">
        <v>0.99035688486121798</v>
      </c>
      <c r="F55" s="190">
        <v>0</v>
      </c>
      <c r="G55" s="190">
        <v>0.99035688486121798</v>
      </c>
      <c r="H55" s="190">
        <v>0.99035688486121798</v>
      </c>
      <c r="I55" s="190"/>
      <c r="J55" s="190">
        <f t="shared" si="0"/>
        <v>0</v>
      </c>
      <c r="K55" s="190">
        <v>0</v>
      </c>
      <c r="L55" s="190">
        <v>0</v>
      </c>
      <c r="M55" s="190">
        <v>0</v>
      </c>
      <c r="N55" s="190">
        <v>0</v>
      </c>
      <c r="O55" s="190">
        <v>0.87034224018708495</v>
      </c>
      <c r="P55" s="190">
        <v>0.87034224018708495</v>
      </c>
      <c r="Q55" s="190">
        <v>0.87034224018708495</v>
      </c>
      <c r="R55" s="190">
        <v>0.35551946528415301</v>
      </c>
      <c r="S55" s="190">
        <v>0.35443617168223901</v>
      </c>
      <c r="T55" s="190">
        <v>0.35443617168223901</v>
      </c>
      <c r="U55" s="190">
        <v>0.35443617168223901</v>
      </c>
      <c r="V55" s="190">
        <v>0.35443617168223901</v>
      </c>
      <c r="W55" s="190">
        <v>0.35443617168223901</v>
      </c>
      <c r="X55" s="190">
        <v>0.35551946528415301</v>
      </c>
      <c r="Y55" s="190">
        <v>9.3611772366602498E-4</v>
      </c>
      <c r="Z55" s="190">
        <v>0.45674002022559201</v>
      </c>
      <c r="AA55" s="190">
        <v>0.45674002022559201</v>
      </c>
      <c r="AB55" s="190">
        <v>0.45674002022559201</v>
      </c>
      <c r="AC55" s="190">
        <v>1.9676637614515899E-3</v>
      </c>
      <c r="AD55" s="190">
        <v>0.45934620591207198</v>
      </c>
      <c r="AE55" s="190">
        <v>0.45934620591207198</v>
      </c>
      <c r="AF55" s="190">
        <v>0.59326643823660696</v>
      </c>
      <c r="AG55" s="190">
        <v>0.59326643824035297</v>
      </c>
      <c r="AH55" s="190">
        <v>0.59326643824035297</v>
      </c>
      <c r="AI55" s="190">
        <v>0.59319280417218601</v>
      </c>
      <c r="AJ55" s="190">
        <v>0.48775035304377701</v>
      </c>
      <c r="AK55" s="190">
        <v>0.48785175578814399</v>
      </c>
      <c r="AL55" s="190">
        <v>0.487851755782721</v>
      </c>
      <c r="AM55" s="190">
        <v>0.65142393128259901</v>
      </c>
      <c r="AN55" s="190">
        <v>0.65147096602031196</v>
      </c>
      <c r="AO55" s="190">
        <v>0.65147096602031196</v>
      </c>
      <c r="AP55" s="190">
        <v>0.65142393128259901</v>
      </c>
      <c r="AQ55" s="190">
        <v>4.2690546498653399E-2</v>
      </c>
      <c r="AR55" s="190">
        <v>4.2690546498653399E-2</v>
      </c>
      <c r="AS55" s="190">
        <v>7.9225349500719902E-9</v>
      </c>
      <c r="AT55" s="190">
        <v>5.0673333169083797E-2</v>
      </c>
      <c r="AU55" s="190">
        <v>4.59112402852958E-2</v>
      </c>
      <c r="AV55" s="190">
        <v>4.5911240285581599E-2</v>
      </c>
      <c r="AW55" s="190">
        <v>4.59112402852958E-2</v>
      </c>
      <c r="AX55" s="190">
        <v>4.59112402852958E-2</v>
      </c>
      <c r="AY55" s="190">
        <v>4.5911240285223302E-2</v>
      </c>
      <c r="AZ55" s="190">
        <v>4.59112402852958E-2</v>
      </c>
      <c r="BA55" s="190">
        <v>2.5621663484152399E-5</v>
      </c>
      <c r="BB55" s="190">
        <v>2.7502450626079299E-8</v>
      </c>
      <c r="BC55" s="190">
        <v>9.2957598087890897E-5</v>
      </c>
      <c r="BD55" s="190">
        <v>9.2957598087890897E-5</v>
      </c>
      <c r="BE55" s="190">
        <v>6.9773469797260901E-2</v>
      </c>
      <c r="BF55" s="190">
        <v>0.65142393128259901</v>
      </c>
      <c r="BG55" s="190">
        <v>0.17016905575347199</v>
      </c>
      <c r="BH55" s="190">
        <v>0.41300756928683602</v>
      </c>
      <c r="BI55" s="190">
        <v>0.41300756928928101</v>
      </c>
      <c r="BJ55" s="190">
        <v>0.41300756928928101</v>
      </c>
      <c r="BK55" s="190">
        <v>0.41300756928683602</v>
      </c>
      <c r="BL55" s="190">
        <v>0.41300756928683602</v>
      </c>
      <c r="BM55" s="190">
        <v>0.41300756929233701</v>
      </c>
      <c r="BN55" s="190">
        <v>0.41300756928683602</v>
      </c>
      <c r="BO55" s="190">
        <v>2.0988602492787701E-3</v>
      </c>
      <c r="BP55" s="190">
        <v>7.9255663367484895E-4</v>
      </c>
      <c r="BQ55" s="190">
        <v>0.43609908789906698</v>
      </c>
      <c r="BR55" s="190">
        <v>0.43609908789906698</v>
      </c>
      <c r="BS55" s="190">
        <v>0.43609908790095298</v>
      </c>
      <c r="BT55" s="190">
        <v>0.43609908789906698</v>
      </c>
      <c r="BU55" s="190">
        <v>0.47471407779455299</v>
      </c>
      <c r="BV55" s="190">
        <v>0.47454992205201602</v>
      </c>
      <c r="BW55" s="190">
        <v>0.47474323561257598</v>
      </c>
      <c r="BX55" s="190">
        <v>0.47471561405130402</v>
      </c>
      <c r="BY55" s="190">
        <v>0.19760836704000401</v>
      </c>
      <c r="BZ55" s="190">
        <v>0.84297801302933095</v>
      </c>
      <c r="CA55" s="190">
        <v>1.8990049802510199E-6</v>
      </c>
      <c r="CB55" s="190">
        <v>5.94517714697163E-21</v>
      </c>
      <c r="CC55" s="191">
        <v>2.4546223908402599E-6</v>
      </c>
      <c r="CK55" s="181"/>
      <c r="CM55" s="181"/>
      <c r="CZ55" s="181"/>
      <c r="DC55" s="181"/>
    </row>
    <row r="56" spans="1:107">
      <c r="A56" s="121" t="s">
        <v>69</v>
      </c>
      <c r="B56" s="67"/>
      <c r="C56" s="190">
        <v>0</v>
      </c>
      <c r="D56" s="190">
        <v>0</v>
      </c>
      <c r="E56" s="190">
        <v>0</v>
      </c>
      <c r="F56" s="190">
        <v>0</v>
      </c>
      <c r="G56" s="190">
        <v>0</v>
      </c>
      <c r="H56" s="190">
        <v>0</v>
      </c>
      <c r="I56" s="190"/>
      <c r="J56" s="190">
        <f>L42/J40</f>
        <v>0.11189834407236555</v>
      </c>
      <c r="K56" s="190">
        <v>0</v>
      </c>
      <c r="L56" s="190">
        <v>1</v>
      </c>
      <c r="M56" s="190">
        <v>1</v>
      </c>
      <c r="N56" s="190">
        <v>1</v>
      </c>
      <c r="O56" s="190">
        <v>0.121183228499027</v>
      </c>
      <c r="P56" s="190">
        <v>0.121183228499027</v>
      </c>
      <c r="Q56" s="190">
        <v>0.121183228499027</v>
      </c>
      <c r="R56" s="190">
        <v>9.2596958968816104E-2</v>
      </c>
      <c r="S56" s="190">
        <v>9.2894678387672402E-2</v>
      </c>
      <c r="T56" s="190">
        <v>9.2894678387672402E-2</v>
      </c>
      <c r="U56" s="190">
        <v>9.2894678387672402E-2</v>
      </c>
      <c r="V56" s="190">
        <v>9.2894678387672402E-2</v>
      </c>
      <c r="W56" s="190">
        <v>9.2894678387672402E-2</v>
      </c>
      <c r="X56" s="190">
        <v>9.2596958968816104E-2</v>
      </c>
      <c r="Y56" s="190">
        <v>3.5012368141508599E-6</v>
      </c>
      <c r="Z56" s="190">
        <v>0.119028998826472</v>
      </c>
      <c r="AA56" s="190">
        <v>0.119028998826472</v>
      </c>
      <c r="AB56" s="190">
        <v>0.119028998826472</v>
      </c>
      <c r="AC56" s="190">
        <v>7.6017987988721897E-6</v>
      </c>
      <c r="AD56" s="190">
        <v>0.11971108043699499</v>
      </c>
      <c r="AE56" s="190">
        <v>0.11971108043699499</v>
      </c>
      <c r="AF56" s="190">
        <v>0.129750345283731</v>
      </c>
      <c r="AG56" s="190">
        <v>0.12975034528231799</v>
      </c>
      <c r="AH56" s="190">
        <v>0.12975034528231799</v>
      </c>
      <c r="AI56" s="190">
        <v>0.12979400094631899</v>
      </c>
      <c r="AJ56" s="190">
        <v>9.8189271673589998E-2</v>
      </c>
      <c r="AK56" s="190">
        <v>9.8150986004420904E-2</v>
      </c>
      <c r="AL56" s="190">
        <v>9.8150986005714105E-2</v>
      </c>
      <c r="AM56" s="190">
        <v>0.134146219166911</v>
      </c>
      <c r="AN56" s="190">
        <v>0.13411361929810001</v>
      </c>
      <c r="AO56" s="190">
        <v>0.13411361929810001</v>
      </c>
      <c r="AP56" s="190">
        <v>0.134146219166911</v>
      </c>
      <c r="AQ56" s="190">
        <v>1.9006157873366599E-4</v>
      </c>
      <c r="AR56" s="190">
        <v>1.9006157873366599E-4</v>
      </c>
      <c r="AS56" s="190">
        <v>9.5268471202139802E-70</v>
      </c>
      <c r="AT56" s="190">
        <v>2.2560156224946299E-4</v>
      </c>
      <c r="AU56" s="190">
        <v>2.0436139584042399E-4</v>
      </c>
      <c r="AV56" s="190">
        <v>2.04361395839885E-4</v>
      </c>
      <c r="AW56" s="190">
        <v>2.0436139584042399E-4</v>
      </c>
      <c r="AX56" s="190">
        <v>2.0436139584042399E-4</v>
      </c>
      <c r="AY56" s="190">
        <v>2.0436139583829001E-4</v>
      </c>
      <c r="AZ56" s="190">
        <v>2.0436139584042399E-4</v>
      </c>
      <c r="BA56" s="190">
        <v>5.7664200805893696E-69</v>
      </c>
      <c r="BB56" s="190">
        <v>0</v>
      </c>
      <c r="BC56" s="190">
        <v>0</v>
      </c>
      <c r="BD56" s="190">
        <v>0</v>
      </c>
      <c r="BE56" s="190">
        <v>3.1063692785671701E-4</v>
      </c>
      <c r="BF56" s="190">
        <v>0.134146219166911</v>
      </c>
      <c r="BG56" s="190">
        <v>2.3411283433609101E-2</v>
      </c>
      <c r="BH56" s="190">
        <v>6.3956566949325902E-2</v>
      </c>
      <c r="BI56" s="190">
        <v>6.3956566948810703E-2</v>
      </c>
      <c r="BJ56" s="190">
        <v>6.3956566948810703E-2</v>
      </c>
      <c r="BK56" s="190">
        <v>6.3956566949325902E-2</v>
      </c>
      <c r="BL56" s="190">
        <v>6.0528501989242901E-2</v>
      </c>
      <c r="BM56" s="190">
        <v>6.0528501988998999E-2</v>
      </c>
      <c r="BN56" s="190">
        <v>6.0528501989242901E-2</v>
      </c>
      <c r="BO56" s="190">
        <v>4.6746651525357298E-6</v>
      </c>
      <c r="BP56" s="190">
        <v>2.2904284711587401E-6</v>
      </c>
      <c r="BQ56" s="190">
        <v>6.3929712658180093E-2</v>
      </c>
      <c r="BR56" s="190">
        <v>6.3929712658180093E-2</v>
      </c>
      <c r="BS56" s="190">
        <v>6.3929712658517601E-2</v>
      </c>
      <c r="BT56" s="190">
        <v>6.3929712658180093E-2</v>
      </c>
      <c r="BU56" s="190">
        <v>7.42495715105113E-2</v>
      </c>
      <c r="BV56" s="190">
        <v>7.4262422486120597E-2</v>
      </c>
      <c r="BW56" s="190">
        <v>7.4264199201674194E-2</v>
      </c>
      <c r="BX56" s="190">
        <v>7.4270046032097706E-2</v>
      </c>
      <c r="BY56" s="190">
        <v>1.9305019844187001E-4</v>
      </c>
      <c r="BZ56" s="190">
        <v>3.8186128655674E-10</v>
      </c>
      <c r="CA56" s="190">
        <v>2.14377180312821E-123</v>
      </c>
      <c r="CB56" s="190">
        <v>0</v>
      </c>
      <c r="CC56" s="191">
        <v>0</v>
      </c>
      <c r="CJ56" s="181"/>
      <c r="CR56" s="181"/>
    </row>
    <row r="57" spans="1:107">
      <c r="A57" s="121" t="s">
        <v>510</v>
      </c>
      <c r="B57" s="67"/>
      <c r="C57" s="190">
        <v>0</v>
      </c>
      <c r="D57" s="190">
        <v>0</v>
      </c>
      <c r="E57" s="190">
        <v>0</v>
      </c>
      <c r="F57" s="190">
        <v>0</v>
      </c>
      <c r="G57" s="190">
        <v>0</v>
      </c>
      <c r="H57" s="190">
        <v>0</v>
      </c>
      <c r="I57" s="190"/>
      <c r="J57" s="190">
        <f t="shared" si="0"/>
        <v>0</v>
      </c>
      <c r="K57" s="190">
        <v>0</v>
      </c>
      <c r="L57" s="190">
        <v>0</v>
      </c>
      <c r="M57" s="190">
        <v>0</v>
      </c>
      <c r="N57" s="190">
        <v>0</v>
      </c>
      <c r="O57" s="190">
        <v>0</v>
      </c>
      <c r="P57" s="190">
        <v>0</v>
      </c>
      <c r="Q57" s="190">
        <v>0</v>
      </c>
      <c r="R57" s="190">
        <v>0.312115183748438</v>
      </c>
      <c r="S57" s="190">
        <v>0.31529921859957599</v>
      </c>
      <c r="T57" s="190">
        <v>0.31529921859957599</v>
      </c>
      <c r="U57" s="190">
        <v>0.31529921859957599</v>
      </c>
      <c r="V57" s="190">
        <v>0.31529921859957599</v>
      </c>
      <c r="W57" s="190">
        <v>0.31529921859957599</v>
      </c>
      <c r="X57" s="190">
        <v>0.312115183748438</v>
      </c>
      <c r="Y57" s="190">
        <v>1.6777255129047499E-5</v>
      </c>
      <c r="Z57" s="190">
        <v>0.40120784452603597</v>
      </c>
      <c r="AA57" s="190">
        <v>0.40120784452603597</v>
      </c>
      <c r="AB57" s="190">
        <v>0.40120784452603597</v>
      </c>
      <c r="AC57" s="190">
        <v>3.5856304145847901E-5</v>
      </c>
      <c r="AD57" s="190">
        <v>0.40350686001952402</v>
      </c>
      <c r="AE57" s="190">
        <v>0.40350686001952402</v>
      </c>
      <c r="AF57" s="190">
        <v>0.18807431814963099</v>
      </c>
      <c r="AG57" s="190">
        <v>0.18807431814758699</v>
      </c>
      <c r="AH57" s="190">
        <v>0.18807431814758699</v>
      </c>
      <c r="AI57" s="190">
        <v>0.188078926474711</v>
      </c>
      <c r="AJ57" s="190">
        <v>6.9171625805048903E-2</v>
      </c>
      <c r="AK57" s="190">
        <v>6.9177814778448102E-2</v>
      </c>
      <c r="AL57" s="190">
        <v>6.91778147790683E-2</v>
      </c>
      <c r="AM57" s="190">
        <v>9.4436560503792899E-2</v>
      </c>
      <c r="AN57" s="190">
        <v>9.4442839536348203E-2</v>
      </c>
      <c r="AO57" s="190">
        <v>9.4442839536348203E-2</v>
      </c>
      <c r="AP57" s="190">
        <v>9.4436560503792899E-2</v>
      </c>
      <c r="AQ57" s="190">
        <v>4.3621030107723701E-4</v>
      </c>
      <c r="AR57" s="190">
        <v>4.3621030107723701E-4</v>
      </c>
      <c r="AS57" s="190">
        <v>1.00200801118556E-27</v>
      </c>
      <c r="AT57" s="190">
        <v>5.1777811195727395E-4</v>
      </c>
      <c r="AU57" s="190">
        <v>4.6902980919166798E-4</v>
      </c>
      <c r="AV57" s="190">
        <v>4.6902980919352603E-4</v>
      </c>
      <c r="AW57" s="190">
        <v>4.6902980919166798E-4</v>
      </c>
      <c r="AX57" s="190">
        <v>4.6902980919166798E-4</v>
      </c>
      <c r="AY57" s="190">
        <v>4.69029809189865E-4</v>
      </c>
      <c r="AZ57" s="190">
        <v>4.6902980919166798E-4</v>
      </c>
      <c r="BA57" s="190">
        <v>3.2092257245470699E-24</v>
      </c>
      <c r="BB57" s="190">
        <v>0</v>
      </c>
      <c r="BC57" s="190">
        <v>0</v>
      </c>
      <c r="BD57" s="190">
        <v>0</v>
      </c>
      <c r="BE57" s="190">
        <v>7.1294276691225304E-4</v>
      </c>
      <c r="BF57" s="190">
        <v>9.4436560503792899E-2</v>
      </c>
      <c r="BG57" s="190">
        <v>1.6890076876978199E-2</v>
      </c>
      <c r="BH57" s="190">
        <v>0.13672852908116501</v>
      </c>
      <c r="BI57" s="190">
        <v>0.13672852907932001</v>
      </c>
      <c r="BJ57" s="190">
        <v>0.13672852907932001</v>
      </c>
      <c r="BK57" s="190">
        <v>0.13672852908116501</v>
      </c>
      <c r="BL57" s="190">
        <v>0.13672852908116501</v>
      </c>
      <c r="BM57" s="190">
        <v>0.13672852908033101</v>
      </c>
      <c r="BN57" s="190">
        <v>0.13672852908116501</v>
      </c>
      <c r="BO57" s="190">
        <v>1.4585653961075999E-5</v>
      </c>
      <c r="BP57" s="190">
        <v>9.3087831097767302E-6</v>
      </c>
      <c r="BQ57" s="190">
        <v>0.144411336721322</v>
      </c>
      <c r="BR57" s="190">
        <v>0.144411336721322</v>
      </c>
      <c r="BS57" s="190">
        <v>0.14441133672048001</v>
      </c>
      <c r="BT57" s="190">
        <v>0.144411336721322</v>
      </c>
      <c r="BU57" s="190">
        <v>0.16723065895775199</v>
      </c>
      <c r="BV57" s="190">
        <v>0.16730470786083901</v>
      </c>
      <c r="BW57" s="190">
        <v>0.167194481909749</v>
      </c>
      <c r="BX57" s="190">
        <v>0.167215958395978</v>
      </c>
      <c r="BY57" s="190">
        <v>3.4765177712752799E-3</v>
      </c>
      <c r="BZ57" s="190">
        <v>1.46104470182934E-2</v>
      </c>
      <c r="CA57" s="190">
        <v>3.9521431965946697E-29</v>
      </c>
      <c r="CB57" s="190">
        <v>0</v>
      </c>
      <c r="CC57" s="191">
        <v>0</v>
      </c>
    </row>
    <row r="58" spans="1:107">
      <c r="A58" s="121" t="s">
        <v>157</v>
      </c>
      <c r="B58" s="67"/>
      <c r="C58" s="190">
        <v>9.6431151387819103E-3</v>
      </c>
      <c r="D58" s="190">
        <v>9.6431151387819103E-3</v>
      </c>
      <c r="E58" s="190">
        <v>9.6431151387819103E-3</v>
      </c>
      <c r="F58" s="190">
        <v>0</v>
      </c>
      <c r="G58" s="190">
        <v>9.6431151387818999E-3</v>
      </c>
      <c r="H58" s="190">
        <v>9.6431151387819103E-3</v>
      </c>
      <c r="I58" s="190">
        <v>1</v>
      </c>
      <c r="J58" s="190">
        <f t="shared" si="0"/>
        <v>0</v>
      </c>
      <c r="K58" s="190">
        <v>0</v>
      </c>
      <c r="L58" s="190">
        <v>0</v>
      </c>
      <c r="M58" s="190">
        <v>0</v>
      </c>
      <c r="N58" s="190">
        <v>0</v>
      </c>
      <c r="O58" s="190">
        <v>8.4745313138888407E-3</v>
      </c>
      <c r="P58" s="190">
        <v>8.4745313138888407E-3</v>
      </c>
      <c r="Q58" s="190">
        <v>8.4745313138888407E-3</v>
      </c>
      <c r="R58" s="190">
        <v>0.23035987721906001</v>
      </c>
      <c r="S58" s="190">
        <v>0.227865435834436</v>
      </c>
      <c r="T58" s="190">
        <v>0.227865435834436</v>
      </c>
      <c r="U58" s="190">
        <v>0.227865435834436</v>
      </c>
      <c r="V58" s="190">
        <v>0.227865435834436</v>
      </c>
      <c r="W58" s="190">
        <v>0.227865435834436</v>
      </c>
      <c r="X58" s="190">
        <v>0.23035987721906001</v>
      </c>
      <c r="Y58" s="190">
        <v>0.99904164502944703</v>
      </c>
      <c r="Z58" s="190">
        <v>1.0929394523136699E-2</v>
      </c>
      <c r="AA58" s="190">
        <v>1.0929394523136699E-2</v>
      </c>
      <c r="AB58" s="190">
        <v>1.0929394523136699E-2</v>
      </c>
      <c r="AC58" s="190">
        <v>0.99798472533984395</v>
      </c>
      <c r="AD58" s="190">
        <v>5.2728293463528498E-3</v>
      </c>
      <c r="AE58" s="190">
        <v>5.2728293463528498E-3</v>
      </c>
      <c r="AF58" s="190">
        <v>3.01247538652059E-3</v>
      </c>
      <c r="AG58" s="190">
        <v>3.0124753864380601E-3</v>
      </c>
      <c r="AH58" s="190">
        <v>3.0124753864380601E-3</v>
      </c>
      <c r="AI58" s="190">
        <v>3.01316411528821E-3</v>
      </c>
      <c r="AJ58" s="190">
        <v>4.6175716114272701E-2</v>
      </c>
      <c r="AK58" s="190">
        <v>4.6163660361422797E-2</v>
      </c>
      <c r="AL58" s="190">
        <v>4.61636603616387E-2</v>
      </c>
      <c r="AM58" s="190">
        <v>2.0305429278824599E-3</v>
      </c>
      <c r="AN58" s="190">
        <v>2.0300783836745698E-3</v>
      </c>
      <c r="AO58" s="190">
        <v>2.0300783836745698E-3</v>
      </c>
      <c r="AP58" s="190">
        <v>2.0305429278824599E-3</v>
      </c>
      <c r="AQ58" s="190">
        <v>0.16627181363555099</v>
      </c>
      <c r="AR58" s="190">
        <v>0.16627181363555099</v>
      </c>
      <c r="AS58" s="190">
        <v>0.99989734226013305</v>
      </c>
      <c r="AT58" s="190">
        <v>1.0390557975838001E-2</v>
      </c>
      <c r="AU58" s="190">
        <v>1.0435724560037499E-2</v>
      </c>
      <c r="AV58" s="190">
        <v>1.0435724560142299E-2</v>
      </c>
      <c r="AW58" s="190">
        <v>1.0435724560037499E-2</v>
      </c>
      <c r="AX58" s="190">
        <v>0.248472671092375</v>
      </c>
      <c r="AY58" s="190">
        <v>0.248472671091234</v>
      </c>
      <c r="AZ58" s="190">
        <v>0.248472671092375</v>
      </c>
      <c r="BA58" s="190">
        <v>0.72627053226688498</v>
      </c>
      <c r="BB58" s="190">
        <v>0.99788791339145499</v>
      </c>
      <c r="BC58" s="190">
        <v>1.08702930099545E-2</v>
      </c>
      <c r="BD58" s="190">
        <v>1.08702930099545E-2</v>
      </c>
      <c r="BE58" s="190">
        <v>3.3552257077514098E-13</v>
      </c>
      <c r="BF58" s="190">
        <v>2.0305429278824599E-3</v>
      </c>
      <c r="BG58" s="190">
        <v>3.5048119225228298E-4</v>
      </c>
      <c r="BH58" s="190">
        <v>7.1134876048123299E-5</v>
      </c>
      <c r="BI58" s="190">
        <v>7.1134876047386204E-5</v>
      </c>
      <c r="BJ58" s="190">
        <v>7.1134876047386204E-5</v>
      </c>
      <c r="BK58" s="190">
        <v>7.1134876048123299E-5</v>
      </c>
      <c r="BL58" s="190">
        <v>5.7564534506548803E-2</v>
      </c>
      <c r="BM58" s="190">
        <v>5.7564534505935398E-2</v>
      </c>
      <c r="BN58" s="190">
        <v>5.7564534506548803E-2</v>
      </c>
      <c r="BO58" s="190">
        <v>0.99757064406705498</v>
      </c>
      <c r="BP58" s="190">
        <v>0.99857733953060601</v>
      </c>
      <c r="BQ58" s="190">
        <v>4.7397388837732103E-3</v>
      </c>
      <c r="BR58" s="190">
        <v>4.7397388837732103E-3</v>
      </c>
      <c r="BS58" s="190">
        <v>4.7397388837620196E-3</v>
      </c>
      <c r="BT58" s="190">
        <v>4.7397388837732103E-3</v>
      </c>
      <c r="BU58" s="190">
        <v>1.17693559850078E-7</v>
      </c>
      <c r="BV58" s="190">
        <v>1.1770843360024E-7</v>
      </c>
      <c r="BW58" s="190">
        <v>1.18006789716669E-7</v>
      </c>
      <c r="BX58" s="190">
        <v>1.179353499508E-7</v>
      </c>
      <c r="BY58" s="190">
        <v>3.4012196997551002E-2</v>
      </c>
      <c r="BZ58" s="190">
        <v>1.8447739838202999E-56</v>
      </c>
      <c r="CA58" s="190">
        <v>4.4448517813830003E-2</v>
      </c>
      <c r="CB58" s="190">
        <v>0.19307815529556499</v>
      </c>
      <c r="CC58" s="191">
        <v>9.6194712379364395E-4</v>
      </c>
      <c r="CD58" s="181"/>
      <c r="CJ58" s="181"/>
      <c r="CN58" s="181"/>
      <c r="DA58" s="181"/>
    </row>
    <row r="59" spans="1:107">
      <c r="A59" s="121" t="s">
        <v>159</v>
      </c>
      <c r="B59" s="67"/>
      <c r="C59" s="190">
        <v>0</v>
      </c>
      <c r="D59" s="190">
        <v>0</v>
      </c>
      <c r="E59" s="190">
        <v>0</v>
      </c>
      <c r="F59" s="190">
        <v>0</v>
      </c>
      <c r="G59" s="190">
        <v>0</v>
      </c>
      <c r="H59" s="190">
        <v>0</v>
      </c>
      <c r="I59" s="190"/>
      <c r="J59" s="190">
        <f t="shared" si="0"/>
        <v>0</v>
      </c>
      <c r="K59" s="190">
        <v>0</v>
      </c>
      <c r="L59" s="190">
        <v>0</v>
      </c>
      <c r="M59" s="190">
        <v>0</v>
      </c>
      <c r="N59" s="190">
        <v>0</v>
      </c>
      <c r="O59" s="190">
        <v>0</v>
      </c>
      <c r="P59" s="190">
        <v>0</v>
      </c>
      <c r="Q59" s="190">
        <v>0</v>
      </c>
      <c r="R59" s="190">
        <v>0</v>
      </c>
      <c r="S59" s="190">
        <v>0</v>
      </c>
      <c r="T59" s="190">
        <v>0</v>
      </c>
      <c r="U59" s="190">
        <v>0</v>
      </c>
      <c r="V59" s="190">
        <v>0</v>
      </c>
      <c r="W59" s="190">
        <v>0</v>
      </c>
      <c r="X59" s="190">
        <v>0</v>
      </c>
      <c r="Y59" s="190">
        <v>0</v>
      </c>
      <c r="Z59" s="190">
        <v>0</v>
      </c>
      <c r="AA59" s="190">
        <v>0</v>
      </c>
      <c r="AB59" s="190">
        <v>0</v>
      </c>
      <c r="AC59" s="190">
        <v>0</v>
      </c>
      <c r="AD59" s="190">
        <v>0</v>
      </c>
      <c r="AE59" s="190">
        <v>0</v>
      </c>
      <c r="AF59" s="190">
        <v>1.3979461804070101E-2</v>
      </c>
      <c r="AG59" s="190">
        <v>1.39794618040627E-2</v>
      </c>
      <c r="AH59" s="190">
        <v>1.39794618040627E-2</v>
      </c>
      <c r="AI59" s="190">
        <v>1.39827270869758E-2</v>
      </c>
      <c r="AJ59" s="190">
        <v>0.226774656158793</v>
      </c>
      <c r="AK59" s="190">
        <v>0.22673882192839201</v>
      </c>
      <c r="AL59" s="190">
        <v>0.22673882193141801</v>
      </c>
      <c r="AM59" s="190">
        <v>2.0057967108714998E-2</v>
      </c>
      <c r="AN59" s="190">
        <v>2.0055227645070599E-2</v>
      </c>
      <c r="AO59" s="190">
        <v>2.0055227645070599E-2</v>
      </c>
      <c r="AP59" s="190">
        <v>2.0057967108714998E-2</v>
      </c>
      <c r="AQ59" s="190">
        <v>0.78922017909113895</v>
      </c>
      <c r="AR59" s="190">
        <v>0.78922017909113895</v>
      </c>
      <c r="AS59" s="190">
        <v>1.0264981733164101E-4</v>
      </c>
      <c r="AT59" s="190">
        <v>0.93677879756248805</v>
      </c>
      <c r="AU59" s="190">
        <v>0.94083317996977001</v>
      </c>
      <c r="AV59" s="190">
        <v>0.94083317996937199</v>
      </c>
      <c r="AW59" s="190">
        <v>0.94083317996977001</v>
      </c>
      <c r="AX59" s="190">
        <v>9.4083317996976903E-2</v>
      </c>
      <c r="AY59" s="190">
        <v>9.4083317996202898E-2</v>
      </c>
      <c r="AZ59" s="190">
        <v>9.4083317996976903E-2</v>
      </c>
      <c r="BA59" s="190">
        <v>0.27072861208358401</v>
      </c>
      <c r="BB59" s="190">
        <v>1.4967320980972701E-3</v>
      </c>
      <c r="BC59" s="190">
        <v>0.97984225513738898</v>
      </c>
      <c r="BD59" s="190">
        <v>0.97984225513738898</v>
      </c>
      <c r="BE59" s="190">
        <v>2.22119046537736E-3</v>
      </c>
      <c r="BF59" s="190">
        <v>2.0057967108714998E-2</v>
      </c>
      <c r="BG59" s="190">
        <v>5.2999014116474202E-3</v>
      </c>
      <c r="BH59" s="190">
        <v>1.07426356777894E-3</v>
      </c>
      <c r="BI59" s="190">
        <v>1.07426356776994E-3</v>
      </c>
      <c r="BJ59" s="190">
        <v>1.07426356776994E-3</v>
      </c>
      <c r="BK59" s="190">
        <v>1.07426356777894E-3</v>
      </c>
      <c r="BL59" s="190">
        <v>0</v>
      </c>
      <c r="BM59" s="190">
        <v>0</v>
      </c>
      <c r="BN59" s="190">
        <v>0</v>
      </c>
      <c r="BO59" s="190">
        <v>0</v>
      </c>
      <c r="BP59" s="190">
        <v>3.9603699981957202E-4</v>
      </c>
      <c r="BQ59" s="190">
        <v>0</v>
      </c>
      <c r="BR59" s="190">
        <v>0</v>
      </c>
      <c r="BS59" s="190">
        <v>0</v>
      </c>
      <c r="BT59" s="190">
        <v>0</v>
      </c>
      <c r="BU59" s="190">
        <v>0</v>
      </c>
      <c r="BV59" s="190">
        <v>0</v>
      </c>
      <c r="BW59" s="190">
        <v>0</v>
      </c>
      <c r="BX59" s="190">
        <v>0</v>
      </c>
      <c r="BY59" s="190">
        <v>0</v>
      </c>
      <c r="BZ59" s="190">
        <v>0</v>
      </c>
      <c r="CA59" s="190">
        <v>0</v>
      </c>
      <c r="CB59" s="190">
        <v>0</v>
      </c>
      <c r="CC59" s="191">
        <v>0</v>
      </c>
    </row>
    <row r="60" spans="1:107">
      <c r="A60" s="121" t="s">
        <v>160</v>
      </c>
      <c r="B60" s="67"/>
      <c r="C60" s="190">
        <v>0</v>
      </c>
      <c r="D60" s="190">
        <v>0</v>
      </c>
      <c r="E60" s="190">
        <v>0</v>
      </c>
      <c r="F60" s="190">
        <v>0</v>
      </c>
      <c r="G60" s="190">
        <v>0</v>
      </c>
      <c r="H60" s="190">
        <v>0</v>
      </c>
      <c r="I60" s="190"/>
      <c r="J60" s="190">
        <f t="shared" si="0"/>
        <v>0</v>
      </c>
      <c r="K60" s="190">
        <v>0</v>
      </c>
      <c r="L60" s="190">
        <v>0</v>
      </c>
      <c r="M60" s="190">
        <v>0</v>
      </c>
      <c r="N60" s="190">
        <v>0</v>
      </c>
      <c r="O60" s="190">
        <v>0</v>
      </c>
      <c r="P60" s="190">
        <v>0</v>
      </c>
      <c r="Q60" s="190">
        <v>0</v>
      </c>
      <c r="R60" s="190">
        <v>0</v>
      </c>
      <c r="S60" s="190">
        <v>0</v>
      </c>
      <c r="T60" s="190">
        <v>0</v>
      </c>
      <c r="U60" s="190">
        <v>0</v>
      </c>
      <c r="V60" s="190">
        <v>0</v>
      </c>
      <c r="W60" s="190">
        <v>0</v>
      </c>
      <c r="X60" s="190">
        <v>0</v>
      </c>
      <c r="Y60" s="190">
        <v>0</v>
      </c>
      <c r="Z60" s="190">
        <v>0</v>
      </c>
      <c r="AA60" s="190">
        <v>0</v>
      </c>
      <c r="AB60" s="190">
        <v>0</v>
      </c>
      <c r="AC60" s="190">
        <v>0</v>
      </c>
      <c r="AD60" s="190">
        <v>0</v>
      </c>
      <c r="AE60" s="190">
        <v>0</v>
      </c>
      <c r="AF60" s="190">
        <v>0</v>
      </c>
      <c r="AG60" s="190">
        <v>0</v>
      </c>
      <c r="AH60" s="190">
        <v>0</v>
      </c>
      <c r="AI60" s="190">
        <v>0</v>
      </c>
      <c r="AJ60" s="190">
        <v>0</v>
      </c>
      <c r="AK60" s="190">
        <v>0</v>
      </c>
      <c r="AL60" s="190">
        <v>0</v>
      </c>
      <c r="AM60" s="190">
        <v>0</v>
      </c>
      <c r="AN60" s="190">
        <v>0</v>
      </c>
      <c r="AO60" s="190">
        <v>0</v>
      </c>
      <c r="AP60" s="190">
        <v>0</v>
      </c>
      <c r="AQ60" s="190">
        <v>0</v>
      </c>
      <c r="AR60" s="190">
        <v>0</v>
      </c>
      <c r="AS60" s="190">
        <v>0</v>
      </c>
      <c r="AT60" s="190">
        <v>0</v>
      </c>
      <c r="AU60" s="190">
        <v>8.6565264028605298E-4</v>
      </c>
      <c r="AV60" s="190">
        <v>8.6565264028679902E-4</v>
      </c>
      <c r="AW60" s="190">
        <v>8.6565264028605298E-4</v>
      </c>
      <c r="AX60" s="190">
        <v>0.60957856808074096</v>
      </c>
      <c r="AY60" s="190">
        <v>0.60957856808273803</v>
      </c>
      <c r="AZ60" s="190">
        <v>0.60957856808074096</v>
      </c>
      <c r="BA60" s="190">
        <v>2.9752339860459501E-3</v>
      </c>
      <c r="BB60" s="190">
        <v>6.1532700799674003E-4</v>
      </c>
      <c r="BC60" s="190">
        <v>9.1944942545647505E-3</v>
      </c>
      <c r="BD60" s="190">
        <v>9.1944942545647505E-3</v>
      </c>
      <c r="BE60" s="190">
        <v>0.92503487913525195</v>
      </c>
      <c r="BF60" s="190">
        <v>0</v>
      </c>
      <c r="BG60" s="190">
        <v>0.76536953908968597</v>
      </c>
      <c r="BH60" s="190">
        <v>0.16172886631497699</v>
      </c>
      <c r="BI60" s="190">
        <v>0.16172886631209801</v>
      </c>
      <c r="BJ60" s="190">
        <v>0.16172886631209801</v>
      </c>
      <c r="BK60" s="190">
        <v>0.16172886631497699</v>
      </c>
      <c r="BL60" s="190">
        <v>1.6250113465260702E-2</v>
      </c>
      <c r="BM60" s="190">
        <v>1.6250113465326999E-2</v>
      </c>
      <c r="BN60" s="190">
        <v>1.6250113465260702E-2</v>
      </c>
      <c r="BO60" s="190">
        <v>7.2732067473207801E-5</v>
      </c>
      <c r="BP60" s="190">
        <v>1.71003255882253E-4</v>
      </c>
      <c r="BQ60" s="190">
        <v>1.71592212437723E-2</v>
      </c>
      <c r="BR60" s="190">
        <v>1.71592212437723E-2</v>
      </c>
      <c r="BS60" s="190">
        <v>1.7159221243783E-2</v>
      </c>
      <c r="BT60" s="190">
        <v>1.71592212437723E-2</v>
      </c>
      <c r="BU60" s="190">
        <v>8.2645248666432108E-3</v>
      </c>
      <c r="BV60" s="190">
        <v>8.2703519840680202E-3</v>
      </c>
      <c r="BW60" s="190">
        <v>8.2682038655477203E-3</v>
      </c>
      <c r="BX60" s="190">
        <v>8.2647564075364107E-3</v>
      </c>
      <c r="BY60" s="190">
        <v>7.2093912578462496E-2</v>
      </c>
      <c r="BZ60" s="190">
        <v>1.08830174720585E-7</v>
      </c>
      <c r="CA60" s="190">
        <v>9.42036649571205E-2</v>
      </c>
      <c r="CB60" s="190">
        <v>8.2233946297046206E-8</v>
      </c>
      <c r="CC60" s="191">
        <v>0.121766073294755</v>
      </c>
      <c r="CJ60" s="181"/>
      <c r="CM60" s="181"/>
      <c r="CX60" s="181"/>
      <c r="CY60" s="181"/>
    </row>
    <row r="61" spans="1:107">
      <c r="A61" s="121" t="s">
        <v>161</v>
      </c>
      <c r="B61" s="67"/>
      <c r="C61" s="190">
        <v>0</v>
      </c>
      <c r="D61" s="190">
        <v>0</v>
      </c>
      <c r="E61" s="190">
        <v>0</v>
      </c>
      <c r="F61" s="190">
        <v>0</v>
      </c>
      <c r="G61" s="190">
        <v>0</v>
      </c>
      <c r="H61" s="190">
        <v>0</v>
      </c>
      <c r="I61" s="190"/>
      <c r="J61" s="190">
        <f t="shared" si="0"/>
        <v>0</v>
      </c>
      <c r="K61" s="190">
        <v>0</v>
      </c>
      <c r="L61" s="190">
        <v>0</v>
      </c>
      <c r="M61" s="190">
        <v>0</v>
      </c>
      <c r="N61" s="190">
        <v>0</v>
      </c>
      <c r="O61" s="190">
        <v>0</v>
      </c>
      <c r="P61" s="190">
        <v>0</v>
      </c>
      <c r="Q61" s="190">
        <v>0</v>
      </c>
      <c r="R61" s="190">
        <v>0</v>
      </c>
      <c r="S61" s="190">
        <v>0</v>
      </c>
      <c r="T61" s="190">
        <v>0</v>
      </c>
      <c r="U61" s="190">
        <v>0</v>
      </c>
      <c r="V61" s="190">
        <v>0</v>
      </c>
      <c r="W61" s="190">
        <v>0</v>
      </c>
      <c r="X61" s="190">
        <v>0</v>
      </c>
      <c r="Y61" s="190">
        <v>0</v>
      </c>
      <c r="Z61" s="190">
        <v>0</v>
      </c>
      <c r="AA61" s="190">
        <v>0</v>
      </c>
      <c r="AB61" s="190">
        <v>0</v>
      </c>
      <c r="AC61" s="190">
        <v>0</v>
      </c>
      <c r="AD61" s="190">
        <v>0</v>
      </c>
      <c r="AE61" s="190">
        <v>0</v>
      </c>
      <c r="AF61" s="190">
        <v>0</v>
      </c>
      <c r="AG61" s="190">
        <v>0</v>
      </c>
      <c r="AH61" s="190">
        <v>0</v>
      </c>
      <c r="AI61" s="190">
        <v>0</v>
      </c>
      <c r="AJ61" s="190">
        <v>0</v>
      </c>
      <c r="AK61" s="190">
        <v>0</v>
      </c>
      <c r="AL61" s="190">
        <v>0</v>
      </c>
      <c r="AM61" s="190">
        <v>0</v>
      </c>
      <c r="AN61" s="190">
        <v>0</v>
      </c>
      <c r="AO61" s="190">
        <v>0</v>
      </c>
      <c r="AP61" s="190">
        <v>0</v>
      </c>
      <c r="AQ61" s="190">
        <v>0</v>
      </c>
      <c r="AR61" s="190">
        <v>0</v>
      </c>
      <c r="AS61" s="190">
        <v>0</v>
      </c>
      <c r="AT61" s="190">
        <v>0</v>
      </c>
      <c r="AU61" s="190">
        <v>0</v>
      </c>
      <c r="AV61" s="190">
        <v>0</v>
      </c>
      <c r="AW61" s="190">
        <v>0</v>
      </c>
      <c r="AX61" s="190">
        <v>0</v>
      </c>
      <c r="AY61" s="190">
        <v>0</v>
      </c>
      <c r="AZ61" s="190">
        <v>0</v>
      </c>
      <c r="BA61" s="190">
        <v>0</v>
      </c>
      <c r="BB61" s="190">
        <v>0</v>
      </c>
      <c r="BC61" s="190">
        <v>0</v>
      </c>
      <c r="BD61" s="190">
        <v>0</v>
      </c>
      <c r="BE61" s="190">
        <v>0</v>
      </c>
      <c r="BF61" s="190">
        <v>0</v>
      </c>
      <c r="BG61" s="190">
        <v>0</v>
      </c>
      <c r="BH61" s="190">
        <v>1.24241831645674E-2</v>
      </c>
      <c r="BI61" s="190">
        <v>1.2424183164288701E-2</v>
      </c>
      <c r="BJ61" s="190">
        <v>1.2424183164288701E-2</v>
      </c>
      <c r="BK61" s="190">
        <v>1.24241831645674E-2</v>
      </c>
      <c r="BL61" s="190">
        <v>7.1470217411467293E-2</v>
      </c>
      <c r="BM61" s="190">
        <v>7.14702174105286E-2</v>
      </c>
      <c r="BN61" s="190">
        <v>7.1470217411467293E-2</v>
      </c>
      <c r="BO61" s="190">
        <v>9.01041267668258E-5</v>
      </c>
      <c r="BP61" s="190">
        <v>1.91690864913949E-5</v>
      </c>
      <c r="BQ61" s="190">
        <v>7.5481510378018202E-2</v>
      </c>
      <c r="BR61" s="190">
        <v>7.5481510378018105E-2</v>
      </c>
      <c r="BS61" s="190">
        <v>7.5481510377749306E-2</v>
      </c>
      <c r="BT61" s="190">
        <v>7.5481510378018105E-2</v>
      </c>
      <c r="BU61" s="190">
        <v>1.55701697876434E-2</v>
      </c>
      <c r="BV61" s="190">
        <v>1.55740048010453E-2</v>
      </c>
      <c r="BW61" s="190">
        <v>1.5582723443279101E-2</v>
      </c>
      <c r="BX61" s="190">
        <v>1.55710092093931E-2</v>
      </c>
      <c r="BY61" s="190">
        <v>0.44550099876018301</v>
      </c>
      <c r="BZ61" s="190">
        <v>7.3325714202065E-13</v>
      </c>
      <c r="CA61" s="190">
        <v>0.58217377046321095</v>
      </c>
      <c r="CB61" s="190">
        <v>6.4187341945220501E-3</v>
      </c>
      <c r="CC61" s="191">
        <v>0.75063015984194403</v>
      </c>
      <c r="CJ61" s="181"/>
    </row>
    <row r="62" spans="1:107">
      <c r="A62" s="121" t="s">
        <v>162</v>
      </c>
      <c r="B62" s="67"/>
      <c r="C62" s="190">
        <v>0</v>
      </c>
      <c r="D62" s="190">
        <v>0</v>
      </c>
      <c r="E62" s="190">
        <v>0</v>
      </c>
      <c r="F62" s="190">
        <v>0</v>
      </c>
      <c r="G62" s="190">
        <v>0</v>
      </c>
      <c r="H62" s="190">
        <v>0</v>
      </c>
      <c r="I62" s="190"/>
      <c r="J62" s="190">
        <f>K48/J40</f>
        <v>0.88810165592763446</v>
      </c>
      <c r="K62" s="190">
        <v>1</v>
      </c>
      <c r="L62" s="190">
        <v>0</v>
      </c>
      <c r="M62" s="190">
        <v>0</v>
      </c>
      <c r="N62" s="190">
        <v>0</v>
      </c>
      <c r="O62" s="190">
        <v>0</v>
      </c>
      <c r="P62" s="190">
        <v>0</v>
      </c>
      <c r="Q62" s="190">
        <v>0</v>
      </c>
      <c r="R62" s="190">
        <v>0</v>
      </c>
      <c r="S62" s="190">
        <v>0</v>
      </c>
      <c r="T62" s="190">
        <v>0</v>
      </c>
      <c r="U62" s="190">
        <v>0</v>
      </c>
      <c r="V62" s="190">
        <v>0</v>
      </c>
      <c r="W62" s="190">
        <v>0</v>
      </c>
      <c r="X62" s="190">
        <v>0</v>
      </c>
      <c r="Y62" s="190">
        <v>0</v>
      </c>
      <c r="Z62" s="190">
        <v>0</v>
      </c>
      <c r="AA62" s="190">
        <v>0</v>
      </c>
      <c r="AB62" s="190">
        <v>0</v>
      </c>
      <c r="AC62" s="190">
        <v>0</v>
      </c>
      <c r="AD62" s="190">
        <v>0</v>
      </c>
      <c r="AE62" s="190">
        <v>0</v>
      </c>
      <c r="AF62" s="190">
        <v>0</v>
      </c>
      <c r="AG62" s="190">
        <v>0</v>
      </c>
      <c r="AH62" s="190">
        <v>0</v>
      </c>
      <c r="AI62" s="190">
        <v>0</v>
      </c>
      <c r="AJ62" s="190">
        <v>0</v>
      </c>
      <c r="AK62" s="190">
        <v>0</v>
      </c>
      <c r="AL62" s="190">
        <v>0</v>
      </c>
      <c r="AM62" s="190">
        <v>0</v>
      </c>
      <c r="AN62" s="190">
        <v>0</v>
      </c>
      <c r="AO62" s="190">
        <v>0</v>
      </c>
      <c r="AP62" s="190">
        <v>0</v>
      </c>
      <c r="AQ62" s="190">
        <v>0</v>
      </c>
      <c r="AR62" s="190">
        <v>0</v>
      </c>
      <c r="AS62" s="190">
        <v>0</v>
      </c>
      <c r="AT62" s="190">
        <v>0</v>
      </c>
      <c r="AU62" s="190">
        <v>0</v>
      </c>
      <c r="AV62" s="190">
        <v>0</v>
      </c>
      <c r="AW62" s="190">
        <v>0</v>
      </c>
      <c r="AX62" s="190">
        <v>0</v>
      </c>
      <c r="AY62" s="190">
        <v>0</v>
      </c>
      <c r="AZ62" s="190">
        <v>0</v>
      </c>
      <c r="BA62" s="190">
        <v>0</v>
      </c>
      <c r="BB62" s="190">
        <v>0</v>
      </c>
      <c r="BC62" s="190">
        <v>0</v>
      </c>
      <c r="BD62" s="190">
        <v>0</v>
      </c>
      <c r="BE62" s="190">
        <v>0</v>
      </c>
      <c r="BF62" s="190">
        <v>0</v>
      </c>
      <c r="BG62" s="190">
        <v>0</v>
      </c>
      <c r="BH62" s="190">
        <v>0</v>
      </c>
      <c r="BI62" s="190">
        <v>0</v>
      </c>
      <c r="BJ62" s="190">
        <v>0</v>
      </c>
      <c r="BK62" s="190">
        <v>0</v>
      </c>
      <c r="BL62" s="190">
        <v>0</v>
      </c>
      <c r="BM62" s="190">
        <v>0</v>
      </c>
      <c r="BN62" s="190">
        <v>0</v>
      </c>
      <c r="BO62" s="190">
        <v>0</v>
      </c>
      <c r="BP62" s="190">
        <v>0</v>
      </c>
      <c r="BQ62" s="190">
        <v>0</v>
      </c>
      <c r="BR62" s="190">
        <v>0</v>
      </c>
      <c r="BS62" s="190">
        <v>0</v>
      </c>
      <c r="BT62" s="190">
        <v>0</v>
      </c>
      <c r="BU62" s="190">
        <v>0</v>
      </c>
      <c r="BV62" s="190">
        <v>0</v>
      </c>
      <c r="BW62" s="190">
        <v>0</v>
      </c>
      <c r="BX62" s="190">
        <v>0</v>
      </c>
      <c r="BY62" s="190">
        <v>0</v>
      </c>
      <c r="BZ62" s="190">
        <v>0</v>
      </c>
      <c r="CA62" s="190">
        <v>0</v>
      </c>
      <c r="CB62" s="190">
        <v>0</v>
      </c>
      <c r="CC62" s="191">
        <v>0</v>
      </c>
    </row>
    <row r="63" spans="1:107">
      <c r="A63" s="121" t="s">
        <v>163</v>
      </c>
      <c r="B63" s="67"/>
      <c r="C63" s="190">
        <v>0</v>
      </c>
      <c r="D63" s="190">
        <v>0</v>
      </c>
      <c r="E63" s="190">
        <v>0</v>
      </c>
      <c r="F63" s="190">
        <v>0</v>
      </c>
      <c r="G63" s="190">
        <v>0</v>
      </c>
      <c r="H63" s="190">
        <v>0</v>
      </c>
      <c r="I63" s="190"/>
      <c r="J63" s="190">
        <f t="shared" si="0"/>
        <v>0</v>
      </c>
      <c r="K63" s="190">
        <v>0</v>
      </c>
      <c r="L63" s="190">
        <v>0</v>
      </c>
      <c r="M63" s="190">
        <v>0</v>
      </c>
      <c r="N63" s="190">
        <v>0</v>
      </c>
      <c r="O63" s="190">
        <v>0</v>
      </c>
      <c r="P63" s="190">
        <v>0</v>
      </c>
      <c r="Q63" s="190">
        <v>0</v>
      </c>
      <c r="R63" s="190">
        <v>9.4085147795331895E-3</v>
      </c>
      <c r="S63" s="190">
        <v>9.5044954960767595E-3</v>
      </c>
      <c r="T63" s="190">
        <v>9.5044954960767595E-3</v>
      </c>
      <c r="U63" s="190">
        <v>9.5044954960767595E-3</v>
      </c>
      <c r="V63" s="190">
        <v>9.5044954960767595E-3</v>
      </c>
      <c r="W63" s="190">
        <v>9.5044954960767595E-3</v>
      </c>
      <c r="X63" s="190">
        <v>9.4085147795331895E-3</v>
      </c>
      <c r="Y63" s="190">
        <v>1.9587549433671701E-6</v>
      </c>
      <c r="Z63" s="190">
        <v>1.2093741898763E-2</v>
      </c>
      <c r="AA63" s="190">
        <v>1.2093741898763E-2</v>
      </c>
      <c r="AB63" s="190">
        <v>1.2093741898763E-2</v>
      </c>
      <c r="AC63" s="190">
        <v>4.1527957593991099E-6</v>
      </c>
      <c r="AD63" s="190">
        <v>1.21630242850555E-2</v>
      </c>
      <c r="AE63" s="190">
        <v>1.21630242850555E-2</v>
      </c>
      <c r="AF63" s="190">
        <v>7.1916961139440294E-2</v>
      </c>
      <c r="AG63" s="190">
        <v>7.19169611392418E-2</v>
      </c>
      <c r="AH63" s="190">
        <v>7.19169611392418E-2</v>
      </c>
      <c r="AI63" s="190">
        <v>7.1938377204519399E-2</v>
      </c>
      <c r="AJ63" s="190">
        <v>7.1938377204518497E-2</v>
      </c>
      <c r="AK63" s="190">
        <v>7.1916961139172106E-2</v>
      </c>
      <c r="AL63" s="190">
        <v>7.19169611394396E-2</v>
      </c>
      <c r="AM63" s="190">
        <v>9.7904779010099696E-2</v>
      </c>
      <c r="AN63" s="190">
        <v>9.7887269116494605E-2</v>
      </c>
      <c r="AO63" s="190">
        <v>9.7887269116494605E-2</v>
      </c>
      <c r="AP63" s="190">
        <v>9.7904779010099696E-2</v>
      </c>
      <c r="AQ63" s="190">
        <v>1.1911888948455099E-3</v>
      </c>
      <c r="AR63" s="190">
        <v>1.1911888948455099E-3</v>
      </c>
      <c r="AS63" s="190">
        <v>1.39246351576114E-19</v>
      </c>
      <c r="AT63" s="190">
        <v>1.41393161838324E-3</v>
      </c>
      <c r="AU63" s="190">
        <v>1.2808113395787401E-3</v>
      </c>
      <c r="AV63" s="190">
        <v>1.2808113395838699E-3</v>
      </c>
      <c r="AW63" s="190">
        <v>1.2808113395787401E-3</v>
      </c>
      <c r="AX63" s="190">
        <v>1.2808113395787401E-3</v>
      </c>
      <c r="AY63" s="190">
        <v>1.2808113395738701E-3</v>
      </c>
      <c r="AZ63" s="190">
        <v>1.2808113395787401E-3</v>
      </c>
      <c r="BA63" s="190">
        <v>1.0717919403776299E-15</v>
      </c>
      <c r="BB63" s="190">
        <v>8.9896599758744706E-26</v>
      </c>
      <c r="BC63" s="190">
        <v>3.8949378895942097E-15</v>
      </c>
      <c r="BD63" s="190">
        <v>3.8949378895942097E-15</v>
      </c>
      <c r="BE63" s="190">
        <v>1.9468809070053001E-3</v>
      </c>
      <c r="BF63" s="190">
        <v>9.7904779010099696E-2</v>
      </c>
      <c r="BG63" s="190">
        <v>1.85096622423544E-2</v>
      </c>
      <c r="BH63" s="190">
        <v>0.177632162718739</v>
      </c>
      <c r="BI63" s="190">
        <v>0.177632162722174</v>
      </c>
      <c r="BJ63" s="190">
        <v>0.177632162722174</v>
      </c>
      <c r="BK63" s="190">
        <v>0.177632162718739</v>
      </c>
      <c r="BL63" s="190">
        <v>0.17916004567397101</v>
      </c>
      <c r="BM63" s="190">
        <v>0.179160045672073</v>
      </c>
      <c r="BN63" s="190">
        <v>0.17916004567397101</v>
      </c>
      <c r="BO63" s="190">
        <v>7.3041404807132199E-5</v>
      </c>
      <c r="BP63" s="190">
        <v>1.62633911027402E-5</v>
      </c>
      <c r="BQ63" s="190">
        <v>0.18922405941068701</v>
      </c>
      <c r="BR63" s="190">
        <v>0.18922405941068601</v>
      </c>
      <c r="BS63" s="190">
        <v>0.1892240594099</v>
      </c>
      <c r="BT63" s="190">
        <v>0.18922405941068601</v>
      </c>
      <c r="BU63" s="190">
        <v>0.21811946860629</v>
      </c>
      <c r="BV63" s="190">
        <v>0.21818459087424499</v>
      </c>
      <c r="BW63" s="190">
        <v>0.21808511003501299</v>
      </c>
      <c r="BX63" s="190">
        <v>0.218107220774339</v>
      </c>
      <c r="BY63" s="190">
        <v>1.0762612515967201E-2</v>
      </c>
      <c r="BZ63" s="190">
        <v>4.5501179162399499E-2</v>
      </c>
      <c r="CA63" s="190">
        <v>6.3388009649656194E-14</v>
      </c>
      <c r="CB63" s="190">
        <v>1.35024734042302E-33</v>
      </c>
      <c r="CC63" s="191">
        <v>8.1934291597422401E-14</v>
      </c>
      <c r="CK63" s="181"/>
      <c r="CM63" s="181"/>
      <c r="CZ63" s="181"/>
      <c r="DC63" s="181"/>
    </row>
    <row r="64" spans="1:107">
      <c r="A64" s="121" t="s">
        <v>164</v>
      </c>
      <c r="B64" s="67"/>
      <c r="C64" s="190">
        <v>0</v>
      </c>
      <c r="D64" s="190">
        <v>0</v>
      </c>
      <c r="E64" s="190">
        <v>0</v>
      </c>
      <c r="F64" s="190">
        <v>0</v>
      </c>
      <c r="G64" s="190">
        <v>0</v>
      </c>
      <c r="H64" s="190">
        <v>0</v>
      </c>
      <c r="I64" s="190"/>
      <c r="J64" s="190">
        <f t="shared" si="0"/>
        <v>0</v>
      </c>
      <c r="K64" s="190">
        <v>0</v>
      </c>
      <c r="L64" s="190">
        <v>0</v>
      </c>
      <c r="M64" s="190">
        <v>0</v>
      </c>
      <c r="N64" s="190">
        <v>0</v>
      </c>
      <c r="O64" s="190">
        <v>0</v>
      </c>
      <c r="P64" s="190">
        <v>0</v>
      </c>
      <c r="Q64" s="190">
        <v>0</v>
      </c>
      <c r="R64" s="190">
        <v>0</v>
      </c>
      <c r="S64" s="190">
        <v>0</v>
      </c>
      <c r="T64" s="190">
        <v>0</v>
      </c>
      <c r="U64" s="190">
        <v>0</v>
      </c>
      <c r="V64" s="190">
        <v>0</v>
      </c>
      <c r="W64" s="190">
        <v>0</v>
      </c>
      <c r="X64" s="190">
        <v>0</v>
      </c>
      <c r="Y64" s="190">
        <v>0</v>
      </c>
      <c r="Z64" s="190">
        <v>0</v>
      </c>
      <c r="AA64" s="190">
        <v>0</v>
      </c>
      <c r="AB64" s="190">
        <v>0</v>
      </c>
      <c r="AC64" s="190">
        <v>0</v>
      </c>
      <c r="AD64" s="190">
        <v>0</v>
      </c>
      <c r="AE64" s="190">
        <v>0</v>
      </c>
      <c r="AF64" s="190">
        <v>0</v>
      </c>
      <c r="AG64" s="190">
        <v>0</v>
      </c>
      <c r="AH64" s="190">
        <v>0</v>
      </c>
      <c r="AI64" s="190">
        <v>0</v>
      </c>
      <c r="AJ64" s="190">
        <v>0</v>
      </c>
      <c r="AK64" s="190">
        <v>0</v>
      </c>
      <c r="AL64" s="190">
        <v>0</v>
      </c>
      <c r="AM64" s="190">
        <v>0</v>
      </c>
      <c r="AN64" s="190">
        <v>0</v>
      </c>
      <c r="AO64" s="190">
        <v>0</v>
      </c>
      <c r="AP64" s="190">
        <v>0</v>
      </c>
      <c r="AQ64" s="190">
        <v>0</v>
      </c>
      <c r="AR64" s="190">
        <v>0</v>
      </c>
      <c r="AS64" s="190">
        <v>0</v>
      </c>
      <c r="AT64" s="190">
        <v>0</v>
      </c>
      <c r="AU64" s="190">
        <v>0</v>
      </c>
      <c r="AV64" s="190">
        <v>0</v>
      </c>
      <c r="AW64" s="190">
        <v>0</v>
      </c>
      <c r="AX64" s="190">
        <v>0</v>
      </c>
      <c r="AY64" s="190">
        <v>0</v>
      </c>
      <c r="AZ64" s="190">
        <v>0</v>
      </c>
      <c r="BA64" s="190">
        <v>0</v>
      </c>
      <c r="BB64" s="190">
        <v>0</v>
      </c>
      <c r="BC64" s="190">
        <v>0</v>
      </c>
      <c r="BD64" s="190">
        <v>0</v>
      </c>
      <c r="BE64" s="190">
        <v>0</v>
      </c>
      <c r="BF64" s="190">
        <v>0</v>
      </c>
      <c r="BG64" s="190">
        <v>0</v>
      </c>
      <c r="BH64" s="190">
        <v>1.92821535961663E-2</v>
      </c>
      <c r="BI64" s="190">
        <v>1.9282153595846101E-2</v>
      </c>
      <c r="BJ64" s="190">
        <v>1.9282153595846101E-2</v>
      </c>
      <c r="BK64" s="190">
        <v>1.92821535961663E-2</v>
      </c>
      <c r="BL64" s="190">
        <v>2.2623227004376099E-2</v>
      </c>
      <c r="BM64" s="190">
        <v>2.2623227003476899E-2</v>
      </c>
      <c r="BN64" s="190">
        <v>2.2623227004376099E-2</v>
      </c>
      <c r="BO64" s="190">
        <v>2.6987959235757398E-5</v>
      </c>
      <c r="BP64" s="190">
        <v>5.7415186560239201E-6</v>
      </c>
      <c r="BQ64" s="190">
        <v>2.38930503568658E-2</v>
      </c>
      <c r="BR64" s="190">
        <v>2.38930503568658E-2</v>
      </c>
      <c r="BS64" s="190">
        <v>2.3893050356463101E-2</v>
      </c>
      <c r="BT64" s="190">
        <v>2.38930503568658E-2</v>
      </c>
      <c r="BU64" s="190">
        <v>2.4182791305107702E-2</v>
      </c>
      <c r="BV64" s="190">
        <v>2.4189569796292901E-2</v>
      </c>
      <c r="BW64" s="190">
        <v>2.4184162684980099E-2</v>
      </c>
      <c r="BX64" s="190">
        <v>2.4185629296333201E-2</v>
      </c>
      <c r="BY64" s="190">
        <v>2.21035761709031E-2</v>
      </c>
      <c r="BZ64" s="190">
        <v>9.4129522841150504E-2</v>
      </c>
      <c r="CA64" s="190">
        <v>6.2147767494051995E-5</v>
      </c>
      <c r="CB64" s="190">
        <v>1.6564782295329699E-17</v>
      </c>
      <c r="CC64" s="191">
        <v>8.0331175124912199E-5</v>
      </c>
      <c r="CM64" s="181"/>
      <c r="DC64" s="181"/>
    </row>
    <row r="65" spans="1:110">
      <c r="A65" s="121" t="s">
        <v>165</v>
      </c>
      <c r="B65" s="67"/>
      <c r="C65" s="190">
        <v>0</v>
      </c>
      <c r="D65" s="190">
        <v>0</v>
      </c>
      <c r="E65" s="190">
        <v>0</v>
      </c>
      <c r="F65" s="190">
        <v>0</v>
      </c>
      <c r="G65" s="190">
        <v>0</v>
      </c>
      <c r="H65" s="190">
        <v>0</v>
      </c>
      <c r="I65" s="190"/>
      <c r="J65" s="190">
        <f t="shared" si="0"/>
        <v>0</v>
      </c>
      <c r="K65" s="190">
        <v>0</v>
      </c>
      <c r="L65" s="190">
        <v>0</v>
      </c>
      <c r="M65" s="190">
        <v>0</v>
      </c>
      <c r="N65" s="190">
        <v>0</v>
      </c>
      <c r="O65" s="190">
        <v>0</v>
      </c>
      <c r="P65" s="190">
        <v>0</v>
      </c>
      <c r="Q65" s="190">
        <v>0</v>
      </c>
      <c r="R65" s="190">
        <v>0</v>
      </c>
      <c r="S65" s="190">
        <v>0</v>
      </c>
      <c r="T65" s="190">
        <v>0</v>
      </c>
      <c r="U65" s="190">
        <v>0</v>
      </c>
      <c r="V65" s="190">
        <v>0</v>
      </c>
      <c r="W65" s="190">
        <v>0</v>
      </c>
      <c r="X65" s="190">
        <v>0</v>
      </c>
      <c r="Y65" s="190">
        <v>0</v>
      </c>
      <c r="Z65" s="190">
        <v>0</v>
      </c>
      <c r="AA65" s="190">
        <v>0</v>
      </c>
      <c r="AB65" s="190">
        <v>0</v>
      </c>
      <c r="AC65" s="190">
        <v>0</v>
      </c>
      <c r="AD65" s="190">
        <v>0</v>
      </c>
      <c r="AE65" s="190">
        <v>0</v>
      </c>
      <c r="AF65" s="190">
        <v>0</v>
      </c>
      <c r="AG65" s="190">
        <v>0</v>
      </c>
      <c r="AH65" s="190">
        <v>0</v>
      </c>
      <c r="AI65" s="190">
        <v>0</v>
      </c>
      <c r="AJ65" s="190">
        <v>0</v>
      </c>
      <c r="AK65" s="190">
        <v>0</v>
      </c>
      <c r="AL65" s="190">
        <v>0</v>
      </c>
      <c r="AM65" s="190">
        <v>0</v>
      </c>
      <c r="AN65" s="190">
        <v>0</v>
      </c>
      <c r="AO65" s="190">
        <v>0</v>
      </c>
      <c r="AP65" s="190">
        <v>0</v>
      </c>
      <c r="AQ65" s="190">
        <v>0</v>
      </c>
      <c r="AR65" s="190">
        <v>0</v>
      </c>
      <c r="AS65" s="190">
        <v>0</v>
      </c>
      <c r="AT65" s="190">
        <v>0</v>
      </c>
      <c r="AU65" s="190">
        <v>0</v>
      </c>
      <c r="AV65" s="190">
        <v>0</v>
      </c>
      <c r="AW65" s="190">
        <v>0</v>
      </c>
      <c r="AX65" s="190">
        <v>0</v>
      </c>
      <c r="AY65" s="190">
        <v>0</v>
      </c>
      <c r="AZ65" s="190">
        <v>0</v>
      </c>
      <c r="BA65" s="190">
        <v>0</v>
      </c>
      <c r="BB65" s="190">
        <v>0</v>
      </c>
      <c r="BC65" s="190">
        <v>0</v>
      </c>
      <c r="BD65" s="190">
        <v>0</v>
      </c>
      <c r="BE65" s="190">
        <v>0</v>
      </c>
      <c r="BF65" s="190">
        <v>0</v>
      </c>
      <c r="BG65" s="190">
        <v>0</v>
      </c>
      <c r="BH65" s="190">
        <v>1.3532098035952801E-2</v>
      </c>
      <c r="BI65" s="190">
        <v>1.3532098035929901E-2</v>
      </c>
      <c r="BJ65" s="190">
        <v>1.3532098035929901E-2</v>
      </c>
      <c r="BK65" s="190">
        <v>1.3532098035952801E-2</v>
      </c>
      <c r="BL65" s="190">
        <v>2.3797961602010899E-2</v>
      </c>
      <c r="BM65" s="190">
        <v>2.3797961601978002E-2</v>
      </c>
      <c r="BN65" s="190">
        <v>2.3797961602010899E-2</v>
      </c>
      <c r="BO65" s="190">
        <v>2.6536484867627702E-5</v>
      </c>
      <c r="BP65" s="190">
        <v>5.6454703225916196E-6</v>
      </c>
      <c r="BQ65" s="190">
        <v>2.5133825976405601E-2</v>
      </c>
      <c r="BR65" s="190">
        <v>2.5133825976405601E-2</v>
      </c>
      <c r="BS65" s="190">
        <v>2.5133825976368901E-2</v>
      </c>
      <c r="BT65" s="190">
        <v>2.5133825976405601E-2</v>
      </c>
      <c r="BU65" s="190">
        <v>1.6963593369167199E-2</v>
      </c>
      <c r="BV65" s="190">
        <v>1.69590327991853E-2</v>
      </c>
      <c r="BW65" s="190">
        <v>1.6972298179164499E-2</v>
      </c>
      <c r="BX65" s="190">
        <v>1.69645770027981E-2</v>
      </c>
      <c r="BY65" s="190">
        <v>7.5594143831130306E-2</v>
      </c>
      <c r="BZ65" s="190">
        <v>2.7807287360562998E-3</v>
      </c>
      <c r="CA65" s="190">
        <v>9.7911695608381796E-2</v>
      </c>
      <c r="CB65" s="190">
        <v>8.56158581203849E-9</v>
      </c>
      <c r="CC65" s="191">
        <v>0.126559033866638</v>
      </c>
      <c r="CM65" s="181"/>
      <c r="CX65" s="181"/>
      <c r="CY65" s="181"/>
    </row>
    <row r="66" spans="1:110">
      <c r="A66" s="121" t="s">
        <v>166</v>
      </c>
      <c r="B66" s="67"/>
      <c r="C66" s="190">
        <v>0</v>
      </c>
      <c r="D66" s="190">
        <v>0</v>
      </c>
      <c r="E66" s="190">
        <v>0</v>
      </c>
      <c r="F66" s="190">
        <v>0</v>
      </c>
      <c r="G66" s="190">
        <v>0</v>
      </c>
      <c r="H66" s="190">
        <v>0</v>
      </c>
      <c r="I66" s="190"/>
      <c r="J66" s="190">
        <f t="shared" si="0"/>
        <v>0</v>
      </c>
      <c r="K66" s="190">
        <v>0</v>
      </c>
      <c r="L66" s="190">
        <v>0</v>
      </c>
      <c r="M66" s="190">
        <v>0</v>
      </c>
      <c r="N66" s="190">
        <v>0</v>
      </c>
      <c r="O66" s="190">
        <v>0</v>
      </c>
      <c r="P66" s="190">
        <v>0</v>
      </c>
      <c r="Q66" s="190">
        <v>0</v>
      </c>
      <c r="R66" s="190">
        <v>0</v>
      </c>
      <c r="S66" s="190">
        <v>0</v>
      </c>
      <c r="T66" s="190">
        <v>0</v>
      </c>
      <c r="U66" s="190">
        <v>0</v>
      </c>
      <c r="V66" s="190">
        <v>0</v>
      </c>
      <c r="W66" s="190">
        <v>0</v>
      </c>
      <c r="X66" s="190">
        <v>0</v>
      </c>
      <c r="Y66" s="190">
        <v>0</v>
      </c>
      <c r="Z66" s="190">
        <v>0</v>
      </c>
      <c r="AA66" s="190">
        <v>0</v>
      </c>
      <c r="AB66" s="190">
        <v>0</v>
      </c>
      <c r="AC66" s="190">
        <v>0</v>
      </c>
      <c r="AD66" s="190">
        <v>0</v>
      </c>
      <c r="AE66" s="190">
        <v>0</v>
      </c>
      <c r="AF66" s="190">
        <v>0</v>
      </c>
      <c r="AG66" s="190">
        <v>0</v>
      </c>
      <c r="AH66" s="190">
        <v>0</v>
      </c>
      <c r="AI66" s="190">
        <v>0</v>
      </c>
      <c r="AJ66" s="190">
        <v>0</v>
      </c>
      <c r="AK66" s="190">
        <v>0</v>
      </c>
      <c r="AL66" s="190">
        <v>0</v>
      </c>
      <c r="AM66" s="190">
        <v>0</v>
      </c>
      <c r="AN66" s="190">
        <v>0</v>
      </c>
      <c r="AO66" s="190">
        <v>0</v>
      </c>
      <c r="AP66" s="190">
        <v>0</v>
      </c>
      <c r="AQ66" s="190">
        <v>0</v>
      </c>
      <c r="AR66" s="190">
        <v>0</v>
      </c>
      <c r="AS66" s="190">
        <v>0</v>
      </c>
      <c r="AT66" s="190">
        <v>0</v>
      </c>
      <c r="AU66" s="190">
        <v>0</v>
      </c>
      <c r="AV66" s="190">
        <v>0</v>
      </c>
      <c r="AW66" s="190">
        <v>0</v>
      </c>
      <c r="AX66" s="190">
        <v>0</v>
      </c>
      <c r="AY66" s="190">
        <v>0</v>
      </c>
      <c r="AZ66" s="190">
        <v>0</v>
      </c>
      <c r="BA66" s="190">
        <v>0</v>
      </c>
      <c r="BB66" s="190">
        <v>0</v>
      </c>
      <c r="BC66" s="190">
        <v>0</v>
      </c>
      <c r="BD66" s="190">
        <v>0</v>
      </c>
      <c r="BE66" s="190">
        <v>0</v>
      </c>
      <c r="BF66" s="190">
        <v>0</v>
      </c>
      <c r="BG66" s="190">
        <v>0</v>
      </c>
      <c r="BH66" s="190">
        <v>5.5129078163267597E-4</v>
      </c>
      <c r="BI66" s="190">
        <v>5.5129078162412899E-4</v>
      </c>
      <c r="BJ66" s="190">
        <v>5.5129078162412899E-4</v>
      </c>
      <c r="BK66" s="190">
        <v>5.5129078163267597E-4</v>
      </c>
      <c r="BL66" s="190">
        <v>1.5210405368196501E-2</v>
      </c>
      <c r="BM66" s="190">
        <v>1.5210405368113401E-2</v>
      </c>
      <c r="BN66" s="190">
        <v>1.5210405368196501E-2</v>
      </c>
      <c r="BO66" s="190">
        <v>1.7549885964617799E-5</v>
      </c>
      <c r="BP66" s="190">
        <v>3.7336279040854802E-6</v>
      </c>
      <c r="BQ66" s="190">
        <v>1.6064186506013201E-2</v>
      </c>
      <c r="BR66" s="190">
        <v>1.6064186506013201E-2</v>
      </c>
      <c r="BS66" s="190">
        <v>1.6064186506160701E-2</v>
      </c>
      <c r="BT66" s="190">
        <v>1.6064186506013201E-2</v>
      </c>
      <c r="BU66" s="190">
        <v>6.9102046424974496E-4</v>
      </c>
      <c r="BV66" s="190">
        <v>6.91262553073557E-4</v>
      </c>
      <c r="BW66" s="190">
        <v>6.9144278325763899E-4</v>
      </c>
      <c r="BX66" s="190">
        <v>6.9106083698611297E-4</v>
      </c>
      <c r="BY66" s="190">
        <v>0.111010668716786</v>
      </c>
      <c r="BZ66" s="190">
        <v>2.08444292619804E-23</v>
      </c>
      <c r="CA66" s="190">
        <v>0.14507211315969001</v>
      </c>
      <c r="CB66" s="190">
        <v>0.640903705173135</v>
      </c>
      <c r="CC66" s="191">
        <v>7.52723514568949E-11</v>
      </c>
      <c r="CJ66" s="181"/>
      <c r="CY66" s="181"/>
      <c r="DC66" s="181"/>
    </row>
    <row r="67" spans="1:110">
      <c r="A67" s="121" t="s">
        <v>167</v>
      </c>
      <c r="B67" s="67"/>
      <c r="C67" s="190">
        <v>0</v>
      </c>
      <c r="D67" s="190">
        <v>0</v>
      </c>
      <c r="E67" s="190">
        <v>0</v>
      </c>
      <c r="F67" s="190">
        <v>0</v>
      </c>
      <c r="G67" s="190">
        <v>0</v>
      </c>
      <c r="H67" s="190">
        <v>0</v>
      </c>
      <c r="I67" s="190"/>
      <c r="J67" s="190">
        <f t="shared" si="0"/>
        <v>0</v>
      </c>
      <c r="K67" s="190">
        <v>0</v>
      </c>
      <c r="L67" s="190">
        <v>0</v>
      </c>
      <c r="M67" s="190">
        <v>0</v>
      </c>
      <c r="N67" s="190">
        <v>0</v>
      </c>
      <c r="O67" s="190">
        <v>0</v>
      </c>
      <c r="P67" s="190">
        <v>0</v>
      </c>
      <c r="Q67" s="190">
        <v>0</v>
      </c>
      <c r="R67" s="190">
        <v>0</v>
      </c>
      <c r="S67" s="190">
        <v>0</v>
      </c>
      <c r="T67" s="190">
        <v>0</v>
      </c>
      <c r="U67" s="190">
        <v>0</v>
      </c>
      <c r="V67" s="190">
        <v>0</v>
      </c>
      <c r="W67" s="190">
        <v>0</v>
      </c>
      <c r="X67" s="190">
        <v>0</v>
      </c>
      <c r="Y67" s="190">
        <v>0</v>
      </c>
      <c r="Z67" s="190">
        <v>0</v>
      </c>
      <c r="AA67" s="190">
        <v>0</v>
      </c>
      <c r="AB67" s="190">
        <v>0</v>
      </c>
      <c r="AC67" s="190">
        <v>0</v>
      </c>
      <c r="AD67" s="190">
        <v>0</v>
      </c>
      <c r="AE67" s="190">
        <v>0</v>
      </c>
      <c r="AF67" s="190">
        <v>0</v>
      </c>
      <c r="AG67" s="190">
        <v>0</v>
      </c>
      <c r="AH67" s="190">
        <v>0</v>
      </c>
      <c r="AI67" s="190">
        <v>0</v>
      </c>
      <c r="AJ67" s="190">
        <v>0</v>
      </c>
      <c r="AK67" s="190">
        <v>0</v>
      </c>
      <c r="AL67" s="190">
        <v>0</v>
      </c>
      <c r="AM67" s="190">
        <v>0</v>
      </c>
      <c r="AN67" s="190">
        <v>0</v>
      </c>
      <c r="AO67" s="190">
        <v>0</v>
      </c>
      <c r="AP67" s="190">
        <v>0</v>
      </c>
      <c r="AQ67" s="190">
        <v>0</v>
      </c>
      <c r="AR67" s="190">
        <v>0</v>
      </c>
      <c r="AS67" s="190">
        <v>0</v>
      </c>
      <c r="AT67" s="190">
        <v>0</v>
      </c>
      <c r="AU67" s="190">
        <v>0</v>
      </c>
      <c r="AV67" s="190">
        <v>0</v>
      </c>
      <c r="AW67" s="190">
        <v>0</v>
      </c>
      <c r="AX67" s="190">
        <v>0</v>
      </c>
      <c r="AY67" s="190">
        <v>0</v>
      </c>
      <c r="AZ67" s="190">
        <v>0</v>
      </c>
      <c r="BA67" s="190">
        <v>0</v>
      </c>
      <c r="BB67" s="190">
        <v>0</v>
      </c>
      <c r="BC67" s="190">
        <v>0</v>
      </c>
      <c r="BD67" s="190">
        <v>0</v>
      </c>
      <c r="BE67" s="190">
        <v>0</v>
      </c>
      <c r="BF67" s="190">
        <v>0</v>
      </c>
      <c r="BG67" s="190">
        <v>0</v>
      </c>
      <c r="BH67" s="190">
        <v>1.11816268110253E-5</v>
      </c>
      <c r="BI67" s="190">
        <v>1.11816268111609E-5</v>
      </c>
      <c r="BJ67" s="190">
        <v>1.11816268111609E-5</v>
      </c>
      <c r="BK67" s="190">
        <v>1.11816268110253E-5</v>
      </c>
      <c r="BL67" s="190">
        <v>3.6588946109251202E-3</v>
      </c>
      <c r="BM67" s="190">
        <v>3.6588946109008301E-3</v>
      </c>
      <c r="BN67" s="190">
        <v>3.6588946109251202E-3</v>
      </c>
      <c r="BO67" s="190">
        <v>4.2834354374348397E-6</v>
      </c>
      <c r="BP67" s="190">
        <v>9.1127395965980695E-7</v>
      </c>
      <c r="BQ67" s="190">
        <v>3.8642699658960702E-3</v>
      </c>
      <c r="BR67" s="190">
        <v>3.8642699658960702E-3</v>
      </c>
      <c r="BS67" s="190">
        <v>3.8642699658635099E-3</v>
      </c>
      <c r="BT67" s="190">
        <v>3.8642699658960702E-3</v>
      </c>
      <c r="BU67" s="190">
        <v>1.40056445229719E-5</v>
      </c>
      <c r="BV67" s="190">
        <v>1.40170846811861E-5</v>
      </c>
      <c r="BW67" s="190">
        <v>1.40242779693621E-5</v>
      </c>
      <c r="BX67" s="190">
        <v>1.4010057885049901E-5</v>
      </c>
      <c r="BY67" s="190">
        <v>2.7643955419295901E-2</v>
      </c>
      <c r="BZ67" s="190">
        <v>8.4545820701239003E-34</v>
      </c>
      <c r="CA67" s="190">
        <v>3.61261912252284E-2</v>
      </c>
      <c r="CB67" s="190">
        <v>0.15959931454124501</v>
      </c>
      <c r="CC67" s="191">
        <v>7.0267082457411904E-34</v>
      </c>
      <c r="CJ67" s="181"/>
      <c r="CN67" s="181"/>
      <c r="CY67" s="181"/>
      <c r="DC67" s="181"/>
      <c r="DF67" s="181"/>
    </row>
    <row r="68" spans="1:110">
      <c r="A68" s="182" t="s">
        <v>514</v>
      </c>
      <c r="B68" s="183" t="s">
        <v>515</v>
      </c>
      <c r="C68" s="184">
        <v>260748.88018348001</v>
      </c>
      <c r="D68" s="184">
        <v>102759.279402567</v>
      </c>
      <c r="E68" s="184">
        <v>81831.604178375594</v>
      </c>
      <c r="F68" s="184"/>
      <c r="G68" s="184">
        <v>83648.291031013607</v>
      </c>
      <c r="H68" s="184">
        <v>34843.010105013003</v>
      </c>
      <c r="I68" s="184">
        <v>215.42777433895094</v>
      </c>
      <c r="J68" s="184">
        <f>SUM(K68,L68)</f>
        <v>120025.481902047</v>
      </c>
      <c r="K68" s="184">
        <v>39719.488079312301</v>
      </c>
      <c r="L68" s="184">
        <v>80305.993822734701</v>
      </c>
      <c r="M68" s="184">
        <v>90312.072149811502</v>
      </c>
      <c r="N68" s="184">
        <v>97024.982060691604</v>
      </c>
      <c r="O68" s="184">
        <v>132403.63318019101</v>
      </c>
      <c r="P68" s="184">
        <v>158502.73480190599</v>
      </c>
      <c r="Q68" s="184">
        <v>199276.74605514199</v>
      </c>
      <c r="R68" s="184">
        <v>277014.55736799398</v>
      </c>
      <c r="S68" s="184">
        <v>235904.30758495</v>
      </c>
      <c r="T68" s="184">
        <v>172373.635226118</v>
      </c>
      <c r="U68" s="184">
        <v>165389.083401051</v>
      </c>
      <c r="V68" s="184">
        <v>159278.412579264</v>
      </c>
      <c r="W68" s="184">
        <v>151402.72758983201</v>
      </c>
      <c r="X68" s="184">
        <v>83396.543870138703</v>
      </c>
      <c r="Y68" s="184">
        <v>129.633473895799</v>
      </c>
      <c r="Z68" s="184">
        <v>83960.271466360093</v>
      </c>
      <c r="AA68" s="184">
        <v>51716.187983739597</v>
      </c>
      <c r="AB68" s="184">
        <v>38816.9924024844</v>
      </c>
      <c r="AC68" s="184">
        <v>2.5861801645487099</v>
      </c>
      <c r="AD68" s="184">
        <v>39062.106668253597</v>
      </c>
      <c r="AE68" s="184">
        <v>24230.0209505516</v>
      </c>
      <c r="AF68" s="184">
        <v>70964.981094502393</v>
      </c>
      <c r="AG68" s="184">
        <v>92489.347981811399</v>
      </c>
      <c r="AH68" s="184">
        <v>99952.696676311898</v>
      </c>
      <c r="AI68" s="184">
        <v>104261.90589770301</v>
      </c>
      <c r="AJ68" s="184">
        <v>89339.552893425207</v>
      </c>
      <c r="AK68" s="184">
        <v>69930.565624859693</v>
      </c>
      <c r="AL68" s="184">
        <v>51818.290720479301</v>
      </c>
      <c r="AM68" s="184">
        <v>52473.322098496399</v>
      </c>
      <c r="AN68" s="184">
        <v>50008.399068461003</v>
      </c>
      <c r="AO68" s="184">
        <v>46901.964382968901</v>
      </c>
      <c r="AP68" s="184">
        <v>2460.6119654170002</v>
      </c>
      <c r="AQ68" s="184">
        <v>444.16413611833599</v>
      </c>
      <c r="AR68" s="184">
        <v>512.76248844040799</v>
      </c>
      <c r="AS68" s="184">
        <v>68.092159880285905</v>
      </c>
      <c r="AT68" s="184">
        <v>14320.8504200889</v>
      </c>
      <c r="AU68" s="184">
        <v>15860.9984131663</v>
      </c>
      <c r="AV68" s="184">
        <v>16820.119128587899</v>
      </c>
      <c r="AW68" s="184">
        <v>18654.888591033199</v>
      </c>
      <c r="AX68" s="184">
        <v>19221.276011691301</v>
      </c>
      <c r="AY68" s="184">
        <v>18062.984859746601</v>
      </c>
      <c r="AZ68" s="184">
        <v>569.15189840209996</v>
      </c>
      <c r="BA68" s="184">
        <v>156.38720135529201</v>
      </c>
      <c r="BB68" s="184">
        <v>100.026927936934</v>
      </c>
      <c r="BC68" s="184">
        <v>1712.8573913304199</v>
      </c>
      <c r="BD68" s="184">
        <v>1539.1688547925</v>
      </c>
      <c r="BE68" s="184">
        <v>5280.7213383752796</v>
      </c>
      <c r="BF68" s="184">
        <v>5311.9174723246397</v>
      </c>
      <c r="BG68" s="184">
        <v>11136.8551360294</v>
      </c>
      <c r="BH68" s="184">
        <v>79901.2800077594</v>
      </c>
      <c r="BI68" s="184">
        <v>122636.59934736299</v>
      </c>
      <c r="BJ68" s="184">
        <v>168623.46057422101</v>
      </c>
      <c r="BK68" s="184">
        <v>201239.246347479</v>
      </c>
      <c r="BL68" s="184">
        <v>201044.28008617999</v>
      </c>
      <c r="BM68" s="184">
        <v>158643.63563166899</v>
      </c>
      <c r="BN68" s="184">
        <v>95164.991520321506</v>
      </c>
      <c r="BO68" s="184">
        <v>77.713109671755205</v>
      </c>
      <c r="BP68" s="184">
        <v>357.28671376961802</v>
      </c>
      <c r="BQ68" s="184">
        <v>103915.71204903899</v>
      </c>
      <c r="BR68" s="184">
        <v>97697.151266740504</v>
      </c>
      <c r="BS68" s="184">
        <v>78899.360542467097</v>
      </c>
      <c r="BT68" s="184">
        <v>62608.783943245297</v>
      </c>
      <c r="BU68" s="184">
        <v>64161.636181438596</v>
      </c>
      <c r="BV68" s="184">
        <v>85026.635713561598</v>
      </c>
      <c r="BW68" s="184">
        <v>62930.974978384897</v>
      </c>
      <c r="BX68" s="184">
        <v>1408.73252629743</v>
      </c>
      <c r="BY68" s="184">
        <v>251.385708548374</v>
      </c>
      <c r="BZ68" s="184">
        <v>870.92226241511003</v>
      </c>
      <c r="CA68" s="184">
        <v>311.67341255486099</v>
      </c>
      <c r="CB68" s="184">
        <v>60.224750152039</v>
      </c>
      <c r="CC68" s="185">
        <v>223.32531768451301</v>
      </c>
    </row>
    <row r="69" spans="1:110">
      <c r="A69" s="196" t="s">
        <v>516</v>
      </c>
      <c r="B69" s="197"/>
      <c r="C69" s="198"/>
      <c r="D69" s="198"/>
      <c r="E69" s="198"/>
      <c r="F69" s="198"/>
      <c r="G69" s="198"/>
      <c r="H69" s="198"/>
      <c r="I69" s="198">
        <v>0</v>
      </c>
      <c r="J69" s="198">
        <f t="shared" si="0"/>
        <v>0</v>
      </c>
      <c r="K69" s="198"/>
      <c r="L69" s="198"/>
      <c r="M69" s="198"/>
      <c r="N69" s="198"/>
      <c r="O69" s="198"/>
      <c r="P69" s="198"/>
      <c r="Q69" s="198"/>
      <c r="R69" s="198"/>
      <c r="S69" s="198"/>
      <c r="T69" s="198"/>
      <c r="U69" s="198"/>
      <c r="V69" s="198"/>
      <c r="W69" s="198"/>
      <c r="X69" s="198"/>
      <c r="Y69" s="198"/>
      <c r="Z69" s="198"/>
      <c r="AA69" s="198"/>
      <c r="AB69" s="198"/>
      <c r="AC69" s="198"/>
      <c r="AD69" s="198"/>
      <c r="AE69" s="198"/>
      <c r="AF69" s="198"/>
      <c r="AG69" s="198"/>
      <c r="AH69" s="198"/>
      <c r="AI69" s="198"/>
      <c r="AJ69" s="198"/>
      <c r="AK69" s="198"/>
      <c r="AL69" s="198"/>
      <c r="AM69" s="198"/>
      <c r="AN69" s="198"/>
      <c r="AO69" s="198"/>
      <c r="AP69" s="198"/>
      <c r="AQ69" s="198"/>
      <c r="AR69" s="198"/>
      <c r="AS69" s="198"/>
      <c r="AT69" s="198"/>
      <c r="AU69" s="198"/>
      <c r="AV69" s="198"/>
      <c r="AW69" s="198"/>
      <c r="AX69" s="198"/>
      <c r="AY69" s="198"/>
      <c r="AZ69" s="198"/>
      <c r="BA69" s="198"/>
      <c r="BB69" s="198"/>
      <c r="BC69" s="198"/>
      <c r="BD69" s="198"/>
      <c r="BE69" s="198"/>
      <c r="BF69" s="198"/>
      <c r="BG69" s="198"/>
      <c r="BH69" s="198"/>
      <c r="BI69" s="198"/>
      <c r="BJ69" s="198"/>
      <c r="BK69" s="198"/>
      <c r="BL69" s="198"/>
      <c r="BM69" s="198"/>
      <c r="BN69" s="198"/>
      <c r="BO69" s="198"/>
      <c r="BP69" s="198"/>
      <c r="BQ69" s="198"/>
      <c r="BR69" s="198"/>
      <c r="BS69" s="198"/>
      <c r="BT69" s="198"/>
      <c r="BU69" s="198"/>
      <c r="BV69" s="198"/>
      <c r="BW69" s="198"/>
      <c r="BX69" s="198"/>
      <c r="BY69" s="198"/>
      <c r="BZ69" s="198"/>
      <c r="CA69" s="198"/>
      <c r="CB69" s="198"/>
      <c r="CC69" s="199"/>
    </row>
    <row r="70" spans="1:110" hidden="1">
      <c r="A70" s="121" t="s">
        <v>504</v>
      </c>
      <c r="B70" s="67" t="s">
        <v>505</v>
      </c>
      <c r="C70" s="137">
        <v>4.0539217744655603E-2</v>
      </c>
      <c r="D70" s="137">
        <v>0.10526542092246099</v>
      </c>
      <c r="E70" s="137">
        <v>0.129221345186456</v>
      </c>
      <c r="F70" s="137"/>
      <c r="G70" s="137">
        <v>0.129315239638183</v>
      </c>
      <c r="H70" s="137">
        <v>0.31044960717798997</v>
      </c>
      <c r="I70" s="137">
        <v>-0.33383294382533002</v>
      </c>
      <c r="J70" s="137">
        <f>J10</f>
        <v>0.39613911935999069</v>
      </c>
      <c r="K70" s="137">
        <v>0.39901104801133203</v>
      </c>
      <c r="L70" s="137">
        <v>0.39470315503432002</v>
      </c>
      <c r="M70" s="137">
        <v>0.35097222747165402</v>
      </c>
      <c r="N70" s="137">
        <v>0.326689358315704</v>
      </c>
      <c r="O70" s="137">
        <v>0.32002591574911099</v>
      </c>
      <c r="P70" s="137">
        <v>0.267330365056204</v>
      </c>
      <c r="Q70" s="137">
        <v>0.21263190410222399</v>
      </c>
      <c r="R70" s="137">
        <v>0.15115006890763599</v>
      </c>
      <c r="S70" s="137">
        <v>0.176951279424892</v>
      </c>
      <c r="T70" s="137">
        <v>0.242169105468138</v>
      </c>
      <c r="U70" s="137">
        <v>0.25239615693241602</v>
      </c>
      <c r="V70" s="137">
        <v>0.26207926342954202</v>
      </c>
      <c r="W70" s="137">
        <v>0.27571213354946</v>
      </c>
      <c r="X70" s="137">
        <v>0.42121559064980002</v>
      </c>
      <c r="Y70" s="137"/>
      <c r="Z70" s="137">
        <v>0.42063376986462597</v>
      </c>
      <c r="AA70" s="137">
        <v>0.68289111944709502</v>
      </c>
      <c r="AB70" s="137">
        <v>0.90354474853609101</v>
      </c>
      <c r="AC70" s="137"/>
      <c r="AD70" s="137">
        <v>0.90075586999150503</v>
      </c>
      <c r="AE70" s="137">
        <v>1.4521416199957</v>
      </c>
      <c r="AF70" s="137">
        <v>1.72042660525985</v>
      </c>
      <c r="AG70" s="137">
        <v>1.3200443530084201E-3</v>
      </c>
      <c r="AH70" s="137">
        <v>1.22147821496201E-3</v>
      </c>
      <c r="AI70" s="137">
        <v>1.1711447489100599</v>
      </c>
      <c r="AJ70" s="137">
        <v>1.1643077651253999</v>
      </c>
      <c r="AK70" s="137">
        <v>1.48724281830959E-3</v>
      </c>
      <c r="AL70" s="137">
        <v>1.7471457388518901</v>
      </c>
      <c r="AM70" s="137">
        <v>1.73783254253956</v>
      </c>
      <c r="AN70" s="137">
        <v>1.7362857575445401</v>
      </c>
      <c r="AO70" s="137">
        <v>1.85161841350284</v>
      </c>
      <c r="AP70" s="137">
        <v>1.7362771542467801</v>
      </c>
      <c r="AQ70" s="137"/>
      <c r="AR70" s="137">
        <v>0.76353322459912099</v>
      </c>
      <c r="AS70" s="137"/>
      <c r="AT70" s="137">
        <v>0.671320799106083</v>
      </c>
      <c r="AU70" s="137">
        <v>0.66954053343037701</v>
      </c>
      <c r="AV70" s="137">
        <v>0.63136183858611306</v>
      </c>
      <c r="AW70" s="137">
        <v>0.56926533152249703</v>
      </c>
      <c r="AX70" s="137">
        <v>0.55249096531522801</v>
      </c>
      <c r="AY70" s="137">
        <v>0.58791951722194402</v>
      </c>
      <c r="AZ70" s="137">
        <v>0.77639420647643198</v>
      </c>
      <c r="BA70" s="137"/>
      <c r="BB70" s="137"/>
      <c r="BC70" s="137">
        <v>0.58714554725178303</v>
      </c>
      <c r="BD70" s="137">
        <v>0.65340237834564396</v>
      </c>
      <c r="BE70" s="137">
        <v>0.93431957911412</v>
      </c>
      <c r="BF70" s="137">
        <v>0.80513370835092202</v>
      </c>
      <c r="BG70" s="137">
        <v>0.82704543057569202</v>
      </c>
      <c r="BH70" s="137">
        <v>1.01560531702401</v>
      </c>
      <c r="BI70" s="137">
        <v>0.67261171894275595</v>
      </c>
      <c r="BJ70" s="137">
        <v>0.48917756527726303</v>
      </c>
      <c r="BK70" s="137">
        <v>0.40989426957501301</v>
      </c>
      <c r="BL70" s="137">
        <v>0.41029177182293902</v>
      </c>
      <c r="BM70" s="137">
        <v>0.51995035012373203</v>
      </c>
      <c r="BN70" s="137">
        <v>0.81216932775239603</v>
      </c>
      <c r="BO70" s="137"/>
      <c r="BP70" s="137">
        <v>0.33383294382533002</v>
      </c>
      <c r="BQ70" s="137">
        <v>0.75589139274557005</v>
      </c>
      <c r="BR70" s="137">
        <v>0.80152246394001203</v>
      </c>
      <c r="BS70" s="137">
        <v>0.99022290719517403</v>
      </c>
      <c r="BT70" s="137">
        <v>1.1718866444909599</v>
      </c>
      <c r="BU70" s="137">
        <v>1.1671112785312401</v>
      </c>
      <c r="BV70" s="137">
        <v>0.87998391503691997</v>
      </c>
      <c r="BW70" s="137">
        <v>1.1615109263909</v>
      </c>
      <c r="BX70" s="137">
        <v>1.16150823017939</v>
      </c>
      <c r="BY70" s="137"/>
      <c r="BZ70" s="137">
        <v>1.2160839042620799</v>
      </c>
      <c r="CA70" s="137"/>
      <c r="CB70" s="137"/>
      <c r="CC70" s="127"/>
    </row>
    <row r="71" spans="1:110" hidden="1">
      <c r="A71" s="121" t="s">
        <v>506</v>
      </c>
      <c r="B71" s="67" t="s">
        <v>507</v>
      </c>
      <c r="C71" s="137">
        <v>1.7836544405767201</v>
      </c>
      <c r="D71" s="137">
        <v>4.5691342885218598</v>
      </c>
      <c r="E71" s="137">
        <v>5.68441867994117</v>
      </c>
      <c r="F71" s="137"/>
      <c r="G71" s="137">
        <v>5.6130369335099299</v>
      </c>
      <c r="H71" s="137">
        <v>13.4753267747816</v>
      </c>
      <c r="I71" s="137">
        <v>-2.4317711701184601</v>
      </c>
      <c r="J71" s="137">
        <f>J11</f>
        <v>11.428205309238738</v>
      </c>
      <c r="K71" s="137">
        <v>12.767874723105001</v>
      </c>
      <c r="L71" s="137">
        <v>0.79567419617058499</v>
      </c>
      <c r="M71" s="137">
        <v>0.70751789391555797</v>
      </c>
      <c r="N71" s="137">
        <v>0.65856654364146205</v>
      </c>
      <c r="O71" s="137">
        <v>3.9823627239956898</v>
      </c>
      <c r="P71" s="137">
        <v>3.3266258399729098</v>
      </c>
      <c r="Q71" s="137">
        <v>2.6459649895753001</v>
      </c>
      <c r="R71" s="137">
        <v>1.9222356865271999</v>
      </c>
      <c r="S71" s="137">
        <v>2.2503599670538401</v>
      </c>
      <c r="T71" s="137">
        <v>3.0797610617675701</v>
      </c>
      <c r="U71" s="137">
        <v>3.2098225525406798</v>
      </c>
      <c r="V71" s="137">
        <v>3.3329664783075499</v>
      </c>
      <c r="W71" s="137">
        <v>3.5063411227498902</v>
      </c>
      <c r="X71" s="137">
        <v>4.9318431080198604</v>
      </c>
      <c r="Y71" s="137"/>
      <c r="Z71" s="137">
        <v>4.9423604708882198</v>
      </c>
      <c r="AA71" s="137">
        <v>8.02383050643353</v>
      </c>
      <c r="AB71" s="137">
        <v>10.576480009863401</v>
      </c>
      <c r="AC71" s="137"/>
      <c r="AD71" s="137">
        <v>10.562600507022401</v>
      </c>
      <c r="AE71" s="137">
        <v>17.028356209079799</v>
      </c>
      <c r="AF71" s="137">
        <v>19.191503200758401</v>
      </c>
      <c r="AG71" s="137">
        <v>1.47252055674163E-2</v>
      </c>
      <c r="AH71" s="137">
        <v>1.36256920234874E-2</v>
      </c>
      <c r="AI71" s="137">
        <v>13.0610676663529</v>
      </c>
      <c r="AJ71" s="137">
        <v>15.242653045032799</v>
      </c>
      <c r="AK71" s="137">
        <v>1.94753846141585E-2</v>
      </c>
      <c r="AL71" s="137">
        <v>18.294535783499601</v>
      </c>
      <c r="AM71" s="137">
        <v>18.980371864766301</v>
      </c>
      <c r="AN71" s="137">
        <v>18.953420550122701</v>
      </c>
      <c r="AO71" s="137">
        <v>20.217277006304901</v>
      </c>
      <c r="AP71" s="137">
        <v>18.949990904599399</v>
      </c>
      <c r="AQ71" s="137"/>
      <c r="AR71" s="137">
        <v>4.3970031160644103</v>
      </c>
      <c r="AS71" s="137"/>
      <c r="AT71" s="137">
        <v>21.528750000767499</v>
      </c>
      <c r="AU71" s="137">
        <v>21.458548591176498</v>
      </c>
      <c r="AV71" s="137">
        <v>2.0234934280231199E-2</v>
      </c>
      <c r="AW71" s="137">
        <v>18.244762143318301</v>
      </c>
      <c r="AX71" s="137">
        <v>17.7071493560825</v>
      </c>
      <c r="AY71" s="137">
        <v>1.8842622512172499E-2</v>
      </c>
      <c r="AZ71" s="137">
        <v>15.1394799915861</v>
      </c>
      <c r="BA71" s="137"/>
      <c r="BB71" s="137"/>
      <c r="BC71" s="137">
        <v>18.7079186061912</v>
      </c>
      <c r="BD71" s="137">
        <v>20.819026165483599</v>
      </c>
      <c r="BE71" s="137">
        <v>42.401712100795798</v>
      </c>
      <c r="BF71" s="137">
        <v>8.7935614112893603</v>
      </c>
      <c r="BG71" s="137">
        <v>24.299705354303399</v>
      </c>
      <c r="BH71" s="137">
        <v>15.9496299329327</v>
      </c>
      <c r="BI71" s="137">
        <v>10.8868044570956</v>
      </c>
      <c r="BJ71" s="137">
        <v>7.9177634703461504</v>
      </c>
      <c r="BK71" s="137">
        <v>6.6344945163192302</v>
      </c>
      <c r="BL71" s="137">
        <v>6.6409284352096503</v>
      </c>
      <c r="BM71" s="137">
        <v>8.4158477020021394</v>
      </c>
      <c r="BN71" s="137">
        <v>12.7169228670867</v>
      </c>
      <c r="BO71" s="137"/>
      <c r="BP71" s="137">
        <v>2.4317711701184601</v>
      </c>
      <c r="BQ71" s="137">
        <v>12.1645120801396</v>
      </c>
      <c r="BR71" s="137">
        <v>12.8940067209576</v>
      </c>
      <c r="BS71" s="137">
        <v>15.7417551008594</v>
      </c>
      <c r="BT71" s="137">
        <v>16.2956147790375</v>
      </c>
      <c r="BU71" s="137">
        <v>16.956120401008398</v>
      </c>
      <c r="BV71" s="137">
        <v>12.782858375703</v>
      </c>
      <c r="BW71" s="137">
        <v>16.773285486526799</v>
      </c>
      <c r="BX71" s="137">
        <v>16.772652420025601</v>
      </c>
      <c r="BY71" s="137"/>
      <c r="BZ71" s="137">
        <v>47.308088129608301</v>
      </c>
      <c r="CA71" s="137"/>
      <c r="CB71" s="137"/>
      <c r="CC71" s="127"/>
    </row>
    <row r="72" spans="1:110">
      <c r="A72" s="121" t="s">
        <v>508</v>
      </c>
      <c r="B72" s="67" t="s">
        <v>509</v>
      </c>
      <c r="C72" s="186">
        <v>10570.374983751401</v>
      </c>
      <c r="D72" s="186">
        <v>10816.998800000099</v>
      </c>
      <c r="E72" s="186">
        <v>10573.8194723662</v>
      </c>
      <c r="F72" s="186"/>
      <c r="G72" s="186">
        <v>10816.998800000099</v>
      </c>
      <c r="H72" s="186">
        <v>10816.998800000099</v>
      </c>
      <c r="I72" s="186"/>
      <c r="J72" s="186">
        <f t="shared" si="0"/>
        <v>47545.543695000102</v>
      </c>
      <c r="K72" s="186">
        <v>15848.514564999999</v>
      </c>
      <c r="L72" s="186">
        <v>31697.029130000101</v>
      </c>
      <c r="M72" s="186">
        <v>31697.029130000101</v>
      </c>
      <c r="N72" s="186">
        <v>31697.029130000101</v>
      </c>
      <c r="O72" s="186">
        <v>42372.593957000201</v>
      </c>
      <c r="P72" s="186">
        <v>42372.593957000201</v>
      </c>
      <c r="Q72" s="186">
        <v>42372.593957000201</v>
      </c>
      <c r="R72" s="186">
        <v>41743.569049000202</v>
      </c>
      <c r="S72" s="186">
        <v>41743.569049000202</v>
      </c>
      <c r="T72" s="186">
        <v>41743.569049000202</v>
      </c>
      <c r="U72" s="186">
        <v>41743.569049000202</v>
      </c>
      <c r="V72" s="186">
        <v>41743.569049000202</v>
      </c>
      <c r="W72" s="186">
        <v>41743.569049000202</v>
      </c>
      <c r="X72" s="186">
        <v>35075.846015583003</v>
      </c>
      <c r="Y72" s="186"/>
      <c r="Z72" s="186">
        <v>35316.525505752499</v>
      </c>
      <c r="AA72" s="186">
        <v>35316.525505752499</v>
      </c>
      <c r="AB72" s="186">
        <v>35068.830156160497</v>
      </c>
      <c r="AC72" s="186"/>
      <c r="AD72" s="186">
        <v>35185.421875663698</v>
      </c>
      <c r="AE72" s="186">
        <v>35185.421875663698</v>
      </c>
      <c r="AF72" s="186">
        <v>122090.04151674399</v>
      </c>
      <c r="AG72" s="186">
        <v>122090.041516821</v>
      </c>
      <c r="AH72" s="186">
        <v>122090.041516821</v>
      </c>
      <c r="AI72" s="186">
        <v>122105.78360345001</v>
      </c>
      <c r="AJ72" s="186">
        <v>104018.735166646</v>
      </c>
      <c r="AK72" s="186">
        <v>104003.7315059</v>
      </c>
      <c r="AL72" s="186">
        <v>89608.779403338194</v>
      </c>
      <c r="AM72" s="186">
        <v>91189.846757927196</v>
      </c>
      <c r="AN72" s="186">
        <v>86810.2175969003</v>
      </c>
      <c r="AO72" s="186">
        <v>86842.442352655999</v>
      </c>
      <c r="AP72" s="186">
        <v>4272.1580412470903</v>
      </c>
      <c r="AQ72" s="186"/>
      <c r="AR72" s="186">
        <v>38.668197959778503</v>
      </c>
      <c r="AS72" s="186"/>
      <c r="AT72" s="186">
        <v>9613.8847478928001</v>
      </c>
      <c r="AU72" s="186">
        <v>10619.5813382898</v>
      </c>
      <c r="AV72" s="186">
        <v>10619.5813382627</v>
      </c>
      <c r="AW72" s="186">
        <v>10619.5813382898</v>
      </c>
      <c r="AX72" s="186">
        <v>10619.5813382898</v>
      </c>
      <c r="AY72" s="186">
        <v>10619.581338329501</v>
      </c>
      <c r="AZ72" s="186">
        <v>59.500409043130297</v>
      </c>
      <c r="BA72" s="186"/>
      <c r="BB72" s="186"/>
      <c r="BC72" s="186">
        <v>1005.69659039696</v>
      </c>
      <c r="BD72" s="186">
        <v>1005.69659039696</v>
      </c>
      <c r="BE72" s="186">
        <v>4933.8813382897497</v>
      </c>
      <c r="BF72" s="186">
        <v>4276.8038129467805</v>
      </c>
      <c r="BG72" s="186">
        <v>9210.6851512365502</v>
      </c>
      <c r="BH72" s="186">
        <v>81059.766682907706</v>
      </c>
      <c r="BI72" s="186">
        <v>82486.813892324193</v>
      </c>
      <c r="BJ72" s="186">
        <v>82486.813892324193</v>
      </c>
      <c r="BK72" s="186">
        <v>82486.813891426194</v>
      </c>
      <c r="BL72" s="186">
        <v>82486.813891426107</v>
      </c>
      <c r="BM72" s="186">
        <v>82486.813891588099</v>
      </c>
      <c r="BN72" s="186">
        <v>77143.208990249303</v>
      </c>
      <c r="BO72" s="186"/>
      <c r="BP72" s="186">
        <v>0.48979422722395599</v>
      </c>
      <c r="BQ72" s="186">
        <v>78548.992308896297</v>
      </c>
      <c r="BR72" s="186">
        <v>78302.858747897204</v>
      </c>
      <c r="BS72" s="186">
        <v>78095.005116826898</v>
      </c>
      <c r="BT72" s="186">
        <v>72973.468107792796</v>
      </c>
      <c r="BU72" s="186">
        <v>74883.769236375403</v>
      </c>
      <c r="BV72" s="186">
        <v>74822.071777637495</v>
      </c>
      <c r="BW72" s="186">
        <v>73075.872103672402</v>
      </c>
      <c r="BX72" s="186">
        <v>1635.9249837576699</v>
      </c>
      <c r="BY72" s="186"/>
      <c r="BZ72" s="186">
        <v>1059.1145415622</v>
      </c>
      <c r="CA72" s="186"/>
      <c r="CB72" s="186"/>
      <c r="CC72" s="187"/>
    </row>
    <row r="73" spans="1:110" hidden="1">
      <c r="A73" s="121" t="s">
        <v>511</v>
      </c>
      <c r="B73" s="67"/>
      <c r="C73" s="137"/>
      <c r="D73" s="137"/>
      <c r="E73" s="137"/>
      <c r="F73" s="137"/>
      <c r="G73" s="137"/>
      <c r="H73" s="137"/>
      <c r="I73" s="137"/>
      <c r="J73" s="137">
        <f t="shared" si="0"/>
        <v>0</v>
      </c>
      <c r="K73" s="137"/>
      <c r="L73" s="137"/>
      <c r="M73" s="137"/>
      <c r="N73" s="137"/>
      <c r="O73" s="137"/>
      <c r="P73" s="137"/>
      <c r="Q73" s="137"/>
      <c r="R73" s="137"/>
      <c r="S73" s="137">
        <v>530869.60984472604</v>
      </c>
      <c r="T73" s="137">
        <v>530869.60984472604</v>
      </c>
      <c r="U73" s="137">
        <v>530869.60984472604</v>
      </c>
      <c r="V73" s="137">
        <v>530869.60984472604</v>
      </c>
      <c r="W73" s="137">
        <v>530869.60984472604</v>
      </c>
      <c r="X73" s="137"/>
      <c r="Y73" s="137"/>
      <c r="Z73" s="137"/>
      <c r="AA73" s="137"/>
      <c r="AB73" s="137"/>
      <c r="AC73" s="137"/>
      <c r="AD73" s="137"/>
      <c r="AE73" s="137"/>
      <c r="AF73" s="137"/>
      <c r="AG73" s="137"/>
      <c r="AH73" s="137"/>
      <c r="AI73" s="137"/>
      <c r="AJ73" s="137"/>
      <c r="AK73" s="137"/>
      <c r="AL73" s="137"/>
      <c r="AM73" s="137"/>
      <c r="AN73" s="137"/>
      <c r="AO73" s="137"/>
      <c r="AP73" s="137"/>
      <c r="AQ73" s="137"/>
      <c r="AR73" s="137"/>
      <c r="AS73" s="137"/>
      <c r="AT73" s="137"/>
      <c r="AU73" s="137"/>
      <c r="AV73" s="137"/>
      <c r="AW73" s="137"/>
      <c r="AX73" s="137"/>
      <c r="AY73" s="137"/>
      <c r="AZ73" s="137"/>
      <c r="BA73" s="137"/>
      <c r="BB73" s="137"/>
      <c r="BC73" s="137"/>
      <c r="BD73" s="137"/>
      <c r="BE73" s="137"/>
      <c r="BF73" s="137"/>
      <c r="BG73" s="137"/>
      <c r="BH73" s="137"/>
      <c r="BI73" s="137"/>
      <c r="BJ73" s="137"/>
      <c r="BK73" s="137"/>
      <c r="BL73" s="137"/>
      <c r="BM73" s="137"/>
      <c r="BN73" s="137"/>
      <c r="BO73" s="137"/>
      <c r="BP73" s="137"/>
      <c r="BQ73" s="137"/>
      <c r="BR73" s="137"/>
      <c r="BS73" s="137"/>
      <c r="BT73" s="137"/>
      <c r="BU73" s="137"/>
      <c r="BV73" s="137"/>
      <c r="BW73" s="137"/>
      <c r="BX73" s="137"/>
      <c r="BY73" s="137"/>
      <c r="BZ73" s="137"/>
      <c r="CA73" s="137"/>
      <c r="CB73" s="137"/>
      <c r="CC73" s="127"/>
    </row>
    <row r="74" spans="1:110">
      <c r="A74" s="121" t="s">
        <v>512</v>
      </c>
      <c r="B74" s="67" t="s">
        <v>152</v>
      </c>
      <c r="C74" s="194">
        <v>465077.94987768098</v>
      </c>
      <c r="D74" s="194">
        <v>469520.946982069</v>
      </c>
      <c r="E74" s="194">
        <v>465140.00330453098</v>
      </c>
      <c r="F74" s="194"/>
      <c r="G74" s="194">
        <v>469520.946982069</v>
      </c>
      <c r="H74" s="194">
        <v>469520.946982069</v>
      </c>
      <c r="I74" s="194"/>
      <c r="J74" s="194">
        <f t="shared" si="0"/>
        <v>571030.85494510655</v>
      </c>
      <c r="K74" s="194">
        <v>507133.44786252198</v>
      </c>
      <c r="L74" s="194">
        <v>63897.407082584599</v>
      </c>
      <c r="M74" s="194">
        <v>63897.407082584599</v>
      </c>
      <c r="N74" s="194">
        <v>63897.407082584599</v>
      </c>
      <c r="O74" s="194">
        <v>527279.29329839302</v>
      </c>
      <c r="P74" s="194">
        <v>527279.29329839302</v>
      </c>
      <c r="Q74" s="194">
        <v>527279.29329839302</v>
      </c>
      <c r="R74" s="194">
        <v>530869.60984472604</v>
      </c>
      <c r="S74" s="194">
        <v>235904.30758495</v>
      </c>
      <c r="T74" s="194">
        <v>172373.635226118</v>
      </c>
      <c r="U74" s="194">
        <v>165389.083401051</v>
      </c>
      <c r="V74" s="194">
        <v>159278.412579264</v>
      </c>
      <c r="W74" s="194">
        <v>151402.72758983201</v>
      </c>
      <c r="X74" s="194">
        <v>410688.90437567298</v>
      </c>
      <c r="Y74" s="194"/>
      <c r="Z74" s="194">
        <v>414961.926820383</v>
      </c>
      <c r="AA74" s="194">
        <v>414961.926820383</v>
      </c>
      <c r="AB74" s="194">
        <v>410499.62574278697</v>
      </c>
      <c r="AC74" s="194"/>
      <c r="AD74" s="194">
        <v>412597.42769945803</v>
      </c>
      <c r="AE74" s="194">
        <v>412597.42769945803</v>
      </c>
      <c r="AF74" s="194">
        <v>1361924.6618168999</v>
      </c>
      <c r="AG74" s="194">
        <v>1361924.66182847</v>
      </c>
      <c r="AH74" s="194">
        <v>1361924.66182847</v>
      </c>
      <c r="AI74" s="194">
        <v>1361771.8079528201</v>
      </c>
      <c r="AJ74" s="194">
        <v>1361771.8079528301</v>
      </c>
      <c r="AK74" s="194">
        <v>1361924.6618297901</v>
      </c>
      <c r="AL74" s="194">
        <v>938302.38935154304</v>
      </c>
      <c r="AM74" s="194">
        <v>995963.16640911798</v>
      </c>
      <c r="AN74" s="194">
        <v>947626.59603253903</v>
      </c>
      <c r="AO74" s="194">
        <v>948207.09285683103</v>
      </c>
      <c r="AP74" s="194">
        <v>46626.9776266013</v>
      </c>
      <c r="AQ74" s="194"/>
      <c r="AR74" s="194">
        <v>222.68079691097901</v>
      </c>
      <c r="AS74" s="194"/>
      <c r="AT74" s="194">
        <v>308310.00849248102</v>
      </c>
      <c r="AU74" s="194">
        <v>340354.00515350298</v>
      </c>
      <c r="AV74" s="194">
        <v>340354.00515263597</v>
      </c>
      <c r="AW74" s="194">
        <v>340354.00515350298</v>
      </c>
      <c r="AX74" s="194">
        <v>340354.00515350298</v>
      </c>
      <c r="AY74" s="194">
        <v>340354.00515529298</v>
      </c>
      <c r="AZ74" s="194">
        <v>1160.24210985274</v>
      </c>
      <c r="BA74" s="194"/>
      <c r="BB74" s="194"/>
      <c r="BC74" s="194">
        <v>32043.9966610224</v>
      </c>
      <c r="BD74" s="194">
        <v>32043.9966610224</v>
      </c>
      <c r="BE74" s="194">
        <v>223911.625874488</v>
      </c>
      <c r="BF74" s="194">
        <v>46710.672504587601</v>
      </c>
      <c r="BG74" s="194">
        <v>270622.29837907501</v>
      </c>
      <c r="BH74" s="194">
        <v>1273007.5939644501</v>
      </c>
      <c r="BI74" s="194">
        <v>1335120.67637793</v>
      </c>
      <c r="BJ74" s="194">
        <v>1335120.67637793</v>
      </c>
      <c r="BK74" s="194">
        <v>1335120.6763605699</v>
      </c>
      <c r="BL74" s="194">
        <v>1335120.6763605699</v>
      </c>
      <c r="BM74" s="194">
        <v>1335120.67636805</v>
      </c>
      <c r="BN74" s="194">
        <v>1207906.0424055201</v>
      </c>
      <c r="BO74" s="194"/>
      <c r="BP74" s="194">
        <v>3.5678548300399702</v>
      </c>
      <c r="BQ74" s="194">
        <v>1264083.9345368501</v>
      </c>
      <c r="BR74" s="194">
        <v>1259649.7695180599</v>
      </c>
      <c r="BS74" s="194">
        <v>1241490.6140998299</v>
      </c>
      <c r="BT74" s="194">
        <v>1014729.1386629899</v>
      </c>
      <c r="BU74" s="194">
        <v>1087932.4282181701</v>
      </c>
      <c r="BV74" s="194">
        <v>1086883.44248894</v>
      </c>
      <c r="BW74" s="194">
        <v>1055282.76757623</v>
      </c>
      <c r="BX74" s="194">
        <v>23623.423773385901</v>
      </c>
      <c r="BY74" s="194"/>
      <c r="BZ74" s="194">
        <v>41201.667003378199</v>
      </c>
      <c r="CA74" s="194"/>
      <c r="CB74" s="194"/>
      <c r="CC74" s="195"/>
    </row>
    <row r="75" spans="1:110" hidden="1">
      <c r="A75" s="121" t="s">
        <v>513</v>
      </c>
      <c r="B75" s="67"/>
      <c r="C75" s="137"/>
      <c r="D75" s="137"/>
      <c r="E75" s="137"/>
      <c r="F75" s="137"/>
      <c r="G75" s="137"/>
      <c r="H75" s="137"/>
      <c r="I75" s="137"/>
      <c r="J75" s="137">
        <f t="shared" si="0"/>
        <v>0</v>
      </c>
      <c r="K75" s="137"/>
      <c r="L75" s="137"/>
      <c r="M75" s="137"/>
      <c r="N75" s="137"/>
      <c r="O75" s="137"/>
      <c r="P75" s="137"/>
      <c r="Q75" s="137"/>
      <c r="R75" s="137"/>
      <c r="S75" s="137"/>
      <c r="T75" s="137"/>
      <c r="U75" s="137"/>
      <c r="V75" s="137"/>
      <c r="W75" s="137"/>
      <c r="X75" s="137"/>
      <c r="Y75" s="137"/>
      <c r="Z75" s="137"/>
      <c r="AA75" s="137"/>
      <c r="AB75" s="137"/>
      <c r="AC75" s="137"/>
      <c r="AD75" s="137"/>
      <c r="AE75" s="137"/>
      <c r="AF75" s="137"/>
      <c r="AG75" s="137"/>
      <c r="AH75" s="137"/>
      <c r="AI75" s="137"/>
      <c r="AJ75" s="137"/>
      <c r="AK75" s="137"/>
      <c r="AL75" s="137"/>
      <c r="AM75" s="137"/>
      <c r="AN75" s="137"/>
      <c r="AO75" s="137"/>
      <c r="AP75" s="137"/>
      <c r="AQ75" s="137"/>
      <c r="AR75" s="137"/>
      <c r="AS75" s="137"/>
      <c r="AT75" s="137"/>
      <c r="AU75" s="137"/>
      <c r="AV75" s="137"/>
      <c r="AW75" s="137"/>
      <c r="AX75" s="137"/>
      <c r="AY75" s="137"/>
      <c r="AZ75" s="137"/>
      <c r="BA75" s="137"/>
      <c r="BB75" s="137"/>
      <c r="BC75" s="137"/>
      <c r="BD75" s="137"/>
      <c r="BE75" s="137"/>
      <c r="BF75" s="137"/>
      <c r="BG75" s="137"/>
      <c r="BH75" s="137"/>
      <c r="BI75" s="137"/>
      <c r="BJ75" s="137"/>
      <c r="BK75" s="137"/>
      <c r="BL75" s="137"/>
      <c r="BM75" s="137"/>
      <c r="BN75" s="137"/>
      <c r="BO75" s="137"/>
      <c r="BP75" s="137"/>
      <c r="BQ75" s="137"/>
      <c r="BR75" s="137"/>
      <c r="BS75" s="137"/>
      <c r="BT75" s="137"/>
      <c r="BU75" s="137"/>
      <c r="BV75" s="137"/>
      <c r="BW75" s="137"/>
      <c r="BX75" s="137"/>
      <c r="BY75" s="137"/>
      <c r="BZ75" s="137"/>
      <c r="CA75" s="137"/>
      <c r="CB75" s="137"/>
      <c r="CC75" s="127"/>
    </row>
    <row r="76" spans="1:110">
      <c r="A76" s="121" t="s">
        <v>514</v>
      </c>
      <c r="B76" s="67" t="s">
        <v>515</v>
      </c>
      <c r="C76" s="186">
        <v>260744.42408659801</v>
      </c>
      <c r="D76" s="186">
        <v>102759.279402567</v>
      </c>
      <c r="E76" s="186">
        <v>81827.189286019493</v>
      </c>
      <c r="F76" s="186"/>
      <c r="G76" s="186">
        <v>83648.291031013607</v>
      </c>
      <c r="H76" s="186">
        <v>34843.010105013003</v>
      </c>
      <c r="I76" s="186"/>
      <c r="J76" s="186">
        <f t="shared" si="0"/>
        <v>120025.481902047</v>
      </c>
      <c r="K76" s="186">
        <v>39719.488079312301</v>
      </c>
      <c r="L76" s="186">
        <v>80305.993822734701</v>
      </c>
      <c r="M76" s="186">
        <v>90312.072149811502</v>
      </c>
      <c r="N76" s="186">
        <v>97024.982060691604</v>
      </c>
      <c r="O76" s="186">
        <v>132403.63318019101</v>
      </c>
      <c r="P76" s="186">
        <v>158502.73480190599</v>
      </c>
      <c r="Q76" s="186">
        <v>199276.74605514199</v>
      </c>
      <c r="R76" s="186">
        <v>276173.00706960598</v>
      </c>
      <c r="S76" s="186"/>
      <c r="T76" s="186"/>
      <c r="U76" s="186"/>
      <c r="V76" s="186"/>
      <c r="W76" s="186"/>
      <c r="X76" s="186">
        <v>83272.905358209304</v>
      </c>
      <c r="Y76" s="186"/>
      <c r="Z76" s="186">
        <v>83960.271466360093</v>
      </c>
      <c r="AA76" s="186">
        <v>51716.187983739597</v>
      </c>
      <c r="AB76" s="186">
        <v>38812.499561287099</v>
      </c>
      <c r="AC76" s="186"/>
      <c r="AD76" s="186">
        <v>39062.106668253597</v>
      </c>
      <c r="AE76" s="186">
        <v>24230.0209505516</v>
      </c>
      <c r="AF76" s="186">
        <v>70964.981094502393</v>
      </c>
      <c r="AG76" s="186">
        <v>92489.347981811399</v>
      </c>
      <c r="AH76" s="186">
        <v>99952.696676311898</v>
      </c>
      <c r="AI76" s="186">
        <v>104261.90589770301</v>
      </c>
      <c r="AJ76" s="186">
        <v>89339.552893425207</v>
      </c>
      <c r="AK76" s="186">
        <v>69930.565624859693</v>
      </c>
      <c r="AL76" s="186">
        <v>51288.668947687998</v>
      </c>
      <c r="AM76" s="186">
        <v>52473.322098496399</v>
      </c>
      <c r="AN76" s="186">
        <v>49997.655754354397</v>
      </c>
      <c r="AO76" s="186">
        <v>46900.831034818802</v>
      </c>
      <c r="AP76" s="186">
        <v>2460.52770480668</v>
      </c>
      <c r="AQ76" s="186"/>
      <c r="AR76" s="186">
        <v>50.643765999941401</v>
      </c>
      <c r="AS76" s="186"/>
      <c r="AT76" s="186">
        <v>14320.8504200889</v>
      </c>
      <c r="AU76" s="186">
        <v>15860.9984131663</v>
      </c>
      <c r="AV76" s="186">
        <v>16820.119128587899</v>
      </c>
      <c r="AW76" s="186">
        <v>18654.888591033199</v>
      </c>
      <c r="AX76" s="186">
        <v>19221.276011691301</v>
      </c>
      <c r="AY76" s="186">
        <v>18062.984859746601</v>
      </c>
      <c r="AZ76" s="186">
        <v>76.636853478293702</v>
      </c>
      <c r="BA76" s="186"/>
      <c r="BB76" s="186"/>
      <c r="BC76" s="186">
        <v>1712.8573913304199</v>
      </c>
      <c r="BD76" s="186">
        <v>1539.1688547925</v>
      </c>
      <c r="BE76" s="186">
        <v>5280.7213383752796</v>
      </c>
      <c r="BF76" s="186">
        <v>5311.9174723246397</v>
      </c>
      <c r="BG76" s="186">
        <v>11136.8551360294</v>
      </c>
      <c r="BH76" s="186">
        <v>79814.2401621467</v>
      </c>
      <c r="BI76" s="186">
        <v>122636.59934736299</v>
      </c>
      <c r="BJ76" s="186">
        <v>168623.46057422101</v>
      </c>
      <c r="BK76" s="186">
        <v>201239.24634747999</v>
      </c>
      <c r="BL76" s="186">
        <v>201044.28008617999</v>
      </c>
      <c r="BM76" s="186">
        <v>158643.63563166899</v>
      </c>
      <c r="BN76" s="186">
        <v>94984.144751853994</v>
      </c>
      <c r="BO76" s="186"/>
      <c r="BP76" s="186">
        <v>1.4671836206801301</v>
      </c>
      <c r="BQ76" s="186">
        <v>103915.71204903899</v>
      </c>
      <c r="BR76" s="186">
        <v>97692.656501461999</v>
      </c>
      <c r="BS76" s="186">
        <v>78866.086160370207</v>
      </c>
      <c r="BT76" s="186">
        <v>62270.074030488402</v>
      </c>
      <c r="BU76" s="186">
        <v>64161.636181438596</v>
      </c>
      <c r="BV76" s="186">
        <v>85026.635713561598</v>
      </c>
      <c r="BW76" s="186">
        <v>62914.493909013101</v>
      </c>
      <c r="BX76" s="186">
        <v>1408.44889536856</v>
      </c>
      <c r="BY76" s="186"/>
      <c r="BZ76" s="186">
        <v>870.92225943478104</v>
      </c>
      <c r="CA76" s="186"/>
      <c r="CB76" s="186"/>
      <c r="CC76" s="187"/>
    </row>
    <row r="77" spans="1:110" hidden="1">
      <c r="A77" s="121" t="s">
        <v>517</v>
      </c>
      <c r="B77" s="67"/>
      <c r="C77" s="137"/>
      <c r="D77" s="137"/>
      <c r="E77" s="137"/>
      <c r="F77" s="137"/>
      <c r="G77" s="137"/>
      <c r="H77" s="137"/>
      <c r="I77" s="137">
        <v>0</v>
      </c>
      <c r="J77" s="137">
        <f t="shared" ref="J77:J100" si="1">SUM(K77,L77)</f>
        <v>0</v>
      </c>
      <c r="K77" s="137"/>
      <c r="L77" s="137"/>
      <c r="M77" s="137"/>
      <c r="N77" s="137"/>
      <c r="O77" s="137"/>
      <c r="P77" s="137"/>
      <c r="Q77" s="137"/>
      <c r="R77" s="137"/>
      <c r="S77" s="137"/>
      <c r="T77" s="137"/>
      <c r="U77" s="137"/>
      <c r="V77" s="137"/>
      <c r="W77" s="137"/>
      <c r="X77" s="137"/>
      <c r="Y77" s="137"/>
      <c r="Z77" s="137"/>
      <c r="AA77" s="137"/>
      <c r="AB77" s="137"/>
      <c r="AC77" s="137"/>
      <c r="AD77" s="137"/>
      <c r="AE77" s="137"/>
      <c r="AF77" s="137"/>
      <c r="AG77" s="137"/>
      <c r="AH77" s="137"/>
      <c r="AI77" s="137"/>
      <c r="AJ77" s="137"/>
      <c r="AK77" s="137"/>
      <c r="AL77" s="137"/>
      <c r="AM77" s="137"/>
      <c r="AN77" s="137"/>
      <c r="AO77" s="137"/>
      <c r="AP77" s="137"/>
      <c r="AQ77" s="137"/>
      <c r="AR77" s="137"/>
      <c r="AS77" s="137"/>
      <c r="AT77" s="137"/>
      <c r="AU77" s="137"/>
      <c r="AV77" s="137"/>
      <c r="AW77" s="137"/>
      <c r="AX77" s="137"/>
      <c r="AY77" s="137"/>
      <c r="AZ77" s="137"/>
      <c r="BA77" s="137"/>
      <c r="BB77" s="137"/>
      <c r="BC77" s="137"/>
      <c r="BD77" s="137"/>
      <c r="BE77" s="137"/>
      <c r="BF77" s="137"/>
      <c r="BG77" s="137"/>
      <c r="BH77" s="137"/>
      <c r="BI77" s="137"/>
      <c r="BJ77" s="137"/>
      <c r="BK77" s="137"/>
      <c r="BL77" s="137"/>
      <c r="BM77" s="137"/>
      <c r="BN77" s="137"/>
      <c r="BO77" s="137"/>
      <c r="BP77" s="137"/>
      <c r="BQ77" s="137"/>
      <c r="BR77" s="137"/>
      <c r="BS77" s="137"/>
      <c r="BT77" s="137"/>
      <c r="BU77" s="137"/>
      <c r="BV77" s="137"/>
      <c r="BW77" s="137"/>
      <c r="BX77" s="137"/>
      <c r="BY77" s="137"/>
      <c r="BZ77" s="137"/>
      <c r="CA77" s="137"/>
      <c r="CB77" s="137"/>
      <c r="CC77" s="127"/>
    </row>
    <row r="78" spans="1:110" hidden="1">
      <c r="A78" s="121" t="s">
        <v>504</v>
      </c>
      <c r="B78" s="67" t="s">
        <v>505</v>
      </c>
      <c r="C78" s="137">
        <v>55.345254552022702</v>
      </c>
      <c r="D78" s="137"/>
      <c r="E78" s="137">
        <v>55.081598378652501</v>
      </c>
      <c r="F78" s="137"/>
      <c r="G78" s="137"/>
      <c r="H78" s="137"/>
      <c r="I78" s="137">
        <v>3.2956225132758021</v>
      </c>
      <c r="J78" s="137">
        <f t="shared" si="1"/>
        <v>0</v>
      </c>
      <c r="K78" s="137"/>
      <c r="L78" s="137"/>
      <c r="M78" s="137"/>
      <c r="N78" s="137"/>
      <c r="O78" s="137"/>
      <c r="P78" s="137"/>
      <c r="Q78" s="137"/>
      <c r="R78" s="137"/>
      <c r="S78" s="137"/>
      <c r="T78" s="137"/>
      <c r="U78" s="137"/>
      <c r="V78" s="137"/>
      <c r="W78" s="137"/>
      <c r="X78" s="137">
        <v>55.100304766846101</v>
      </c>
      <c r="Y78" s="137">
        <v>50.695549541032698</v>
      </c>
      <c r="Z78" s="137"/>
      <c r="AA78" s="137"/>
      <c r="AB78" s="137">
        <v>55.131116085476997</v>
      </c>
      <c r="AC78" s="137">
        <v>50.693927625689703</v>
      </c>
      <c r="AD78" s="137"/>
      <c r="AE78" s="137"/>
      <c r="AF78" s="137"/>
      <c r="AG78" s="137"/>
      <c r="AH78" s="137"/>
      <c r="AI78" s="137"/>
      <c r="AJ78" s="137"/>
      <c r="AK78" s="137"/>
      <c r="AL78" s="137">
        <v>27.1796833929643</v>
      </c>
      <c r="AM78" s="137"/>
      <c r="AN78" s="137">
        <v>55.135747078985197</v>
      </c>
      <c r="AO78" s="137">
        <v>54.861596066614403</v>
      </c>
      <c r="AP78" s="137">
        <v>55.135747078985197</v>
      </c>
      <c r="AQ78" s="137">
        <v>28.849435841165899</v>
      </c>
      <c r="AR78" s="137">
        <v>27.644879831889501</v>
      </c>
      <c r="AS78" s="137">
        <v>46.995131387019903</v>
      </c>
      <c r="AT78" s="137"/>
      <c r="AU78" s="137"/>
      <c r="AV78" s="137"/>
      <c r="AW78" s="137"/>
      <c r="AX78" s="137"/>
      <c r="AY78" s="137"/>
      <c r="AZ78" s="137">
        <v>21.441133703601501</v>
      </c>
      <c r="BA78" s="137">
        <v>36.3565557202013</v>
      </c>
      <c r="BB78" s="137">
        <v>46.7874011181339</v>
      </c>
      <c r="BC78" s="137"/>
      <c r="BD78" s="137"/>
      <c r="BE78" s="137"/>
      <c r="BF78" s="137"/>
      <c r="BG78" s="137"/>
      <c r="BH78" s="137">
        <v>16.395332487933601</v>
      </c>
      <c r="BI78" s="137"/>
      <c r="BJ78" s="137"/>
      <c r="BK78" s="137"/>
      <c r="BL78" s="137"/>
      <c r="BM78" s="137"/>
      <c r="BN78" s="137">
        <v>29.5476935886512</v>
      </c>
      <c r="BO78" s="137">
        <v>50.671265107812097</v>
      </c>
      <c r="BP78" s="137">
        <v>52.0496320387469</v>
      </c>
      <c r="BQ78" s="137"/>
      <c r="BR78" s="137">
        <v>54.760047688323901</v>
      </c>
      <c r="BS78" s="137">
        <v>13.6437452398881</v>
      </c>
      <c r="BT78" s="137">
        <v>16.461060013634601</v>
      </c>
      <c r="BU78" s="137"/>
      <c r="BV78" s="137"/>
      <c r="BW78" s="137">
        <v>15.8068518145962</v>
      </c>
      <c r="BX78" s="137">
        <v>15.806026591730699</v>
      </c>
      <c r="BY78" s="137">
        <v>14.580077338865999</v>
      </c>
      <c r="BZ78" s="137">
        <v>20.577453311926501</v>
      </c>
      <c r="CA78" s="137">
        <v>8.2952215230900492</v>
      </c>
      <c r="CB78" s="137">
        <v>10.924080188612001</v>
      </c>
      <c r="CC78" s="127">
        <v>8.6309067864976203</v>
      </c>
      <c r="CZ78" s="181"/>
    </row>
    <row r="79" spans="1:110" hidden="1">
      <c r="A79" s="121" t="s">
        <v>506</v>
      </c>
      <c r="B79" s="67" t="s">
        <v>507</v>
      </c>
      <c r="C79" s="137">
        <v>997.06025742596296</v>
      </c>
      <c r="D79" s="137"/>
      <c r="E79" s="137">
        <v>992.31041763896997</v>
      </c>
      <c r="F79" s="137"/>
      <c r="G79" s="137"/>
      <c r="H79" s="137"/>
      <c r="I79" s="137">
        <v>58.651885781343935</v>
      </c>
      <c r="J79" s="137">
        <f t="shared" si="1"/>
        <v>0</v>
      </c>
      <c r="K79" s="137"/>
      <c r="L79" s="137"/>
      <c r="M79" s="137"/>
      <c r="N79" s="137"/>
      <c r="O79" s="137"/>
      <c r="P79" s="137"/>
      <c r="Q79" s="137"/>
      <c r="R79" s="137"/>
      <c r="S79" s="137"/>
      <c r="T79" s="137"/>
      <c r="U79" s="137"/>
      <c r="V79" s="137"/>
      <c r="W79" s="137"/>
      <c r="X79" s="137">
        <v>992.64741846006802</v>
      </c>
      <c r="Y79" s="137">
        <v>913.77962561957702</v>
      </c>
      <c r="Z79" s="137"/>
      <c r="AA79" s="137"/>
      <c r="AB79" s="137">
        <v>993.20249299237298</v>
      </c>
      <c r="AC79" s="137">
        <v>914.28395693170296</v>
      </c>
      <c r="AD79" s="137"/>
      <c r="AE79" s="137"/>
      <c r="AF79" s="137"/>
      <c r="AG79" s="137"/>
      <c r="AH79" s="137"/>
      <c r="AI79" s="137"/>
      <c r="AJ79" s="137"/>
      <c r="AK79" s="137"/>
      <c r="AL79" s="137">
        <v>799.85809954163699</v>
      </c>
      <c r="AM79" s="137"/>
      <c r="AN79" s="137">
        <v>993.28592163710096</v>
      </c>
      <c r="AO79" s="137">
        <v>988.34701438695697</v>
      </c>
      <c r="AP79" s="137">
        <v>993.28592163710096</v>
      </c>
      <c r="AQ79" s="137">
        <v>823.93301405566103</v>
      </c>
      <c r="AR79" s="137">
        <v>791.43907582669999</v>
      </c>
      <c r="AS79" s="137">
        <v>846.66850070033195</v>
      </c>
      <c r="AT79" s="137"/>
      <c r="AU79" s="137"/>
      <c r="AV79" s="137"/>
      <c r="AW79" s="137"/>
      <c r="AX79" s="137"/>
      <c r="AY79" s="137"/>
      <c r="AZ79" s="137">
        <v>688.69726222501504</v>
      </c>
      <c r="BA79" s="137">
        <v>744.57742238434003</v>
      </c>
      <c r="BB79" s="137">
        <v>843.757145931786</v>
      </c>
      <c r="BC79" s="137"/>
      <c r="BD79" s="137"/>
      <c r="BE79" s="137"/>
      <c r="BF79" s="137"/>
      <c r="BG79" s="137"/>
      <c r="BH79" s="137">
        <v>713.61664257187999</v>
      </c>
      <c r="BI79" s="137"/>
      <c r="BJ79" s="137"/>
      <c r="BK79" s="137"/>
      <c r="BL79" s="137"/>
      <c r="BM79" s="137"/>
      <c r="BN79" s="137">
        <v>703.43732400376302</v>
      </c>
      <c r="BO79" s="137">
        <v>914.08954827779701</v>
      </c>
      <c r="BP79" s="137">
        <v>938.40837164461902</v>
      </c>
      <c r="BQ79" s="137"/>
      <c r="BR79" s="137">
        <v>986.51759191850704</v>
      </c>
      <c r="BS79" s="137">
        <v>679.00045065432403</v>
      </c>
      <c r="BT79" s="137">
        <v>736.18967593795401</v>
      </c>
      <c r="BU79" s="137"/>
      <c r="BV79" s="137"/>
      <c r="BW79" s="137">
        <v>725.44438278042503</v>
      </c>
      <c r="BX79" s="137">
        <v>725.43419233729799</v>
      </c>
      <c r="BY79" s="137">
        <v>700.72203918528498</v>
      </c>
      <c r="BZ79" s="137">
        <v>833.34053172444999</v>
      </c>
      <c r="CA79" s="137">
        <v>432.47796721614901</v>
      </c>
      <c r="CB79" s="137">
        <v>506.61715410526801</v>
      </c>
      <c r="CC79" s="127">
        <v>466.94657573418698</v>
      </c>
      <c r="CZ79" s="181"/>
    </row>
    <row r="80" spans="1:110" hidden="1">
      <c r="A80" s="121" t="s">
        <v>508</v>
      </c>
      <c r="B80" s="67" t="s">
        <v>509</v>
      </c>
      <c r="C80" s="137">
        <v>246.62381624858301</v>
      </c>
      <c r="D80" s="137"/>
      <c r="E80" s="137">
        <v>243.17932763383601</v>
      </c>
      <c r="F80" s="137"/>
      <c r="G80" s="137"/>
      <c r="H80" s="137"/>
      <c r="I80" s="137">
        <v>13176.753513548101</v>
      </c>
      <c r="J80" s="137">
        <f t="shared" si="1"/>
        <v>0</v>
      </c>
      <c r="K80" s="137"/>
      <c r="L80" s="137"/>
      <c r="M80" s="137"/>
      <c r="N80" s="137"/>
      <c r="O80" s="137"/>
      <c r="P80" s="137"/>
      <c r="Q80" s="137"/>
      <c r="R80" s="137"/>
      <c r="S80" s="137"/>
      <c r="T80" s="137"/>
      <c r="U80" s="137"/>
      <c r="V80" s="137"/>
      <c r="W80" s="137"/>
      <c r="X80" s="137">
        <v>6812.5196882299997</v>
      </c>
      <c r="Y80" s="137">
        <v>6571.8401980606404</v>
      </c>
      <c r="Z80" s="137"/>
      <c r="AA80" s="137"/>
      <c r="AB80" s="137">
        <v>247.695349591926</v>
      </c>
      <c r="AC80" s="137">
        <v>131.103630088627</v>
      </c>
      <c r="AD80" s="137"/>
      <c r="AE80" s="137"/>
      <c r="AF80" s="137"/>
      <c r="AG80" s="137"/>
      <c r="AH80" s="137"/>
      <c r="AI80" s="137"/>
      <c r="AJ80" s="137"/>
      <c r="AK80" s="137"/>
      <c r="AL80" s="137">
        <v>14394.952102482101</v>
      </c>
      <c r="AM80" s="137"/>
      <c r="AN80" s="137">
        <v>94.402044180776699</v>
      </c>
      <c r="AO80" s="137">
        <v>62.177288424552103</v>
      </c>
      <c r="AP80" s="137">
        <v>4.6457716997068204</v>
      </c>
      <c r="AQ80" s="137">
        <v>12813.8847478928</v>
      </c>
      <c r="AR80" s="137">
        <v>12775.216549933</v>
      </c>
      <c r="AS80" s="137">
        <v>3200</v>
      </c>
      <c r="AT80" s="137"/>
      <c r="AU80" s="137"/>
      <c r="AV80" s="137"/>
      <c r="AW80" s="137"/>
      <c r="AX80" s="137"/>
      <c r="AY80" s="137"/>
      <c r="AZ80" s="137">
        <v>10560.0809292466</v>
      </c>
      <c r="BA80" s="137">
        <v>5685.7000000000098</v>
      </c>
      <c r="BB80" s="137">
        <v>4680</v>
      </c>
      <c r="BC80" s="137"/>
      <c r="BD80" s="137"/>
      <c r="BE80" s="137"/>
      <c r="BF80" s="137"/>
      <c r="BG80" s="137"/>
      <c r="BH80" s="137">
        <v>1427.04720851872</v>
      </c>
      <c r="BI80" s="137"/>
      <c r="BJ80" s="137"/>
      <c r="BK80" s="137"/>
      <c r="BL80" s="137"/>
      <c r="BM80" s="137"/>
      <c r="BN80" s="137">
        <v>5343.6049011770301</v>
      </c>
      <c r="BO80" s="137">
        <v>3937.8215825299699</v>
      </c>
      <c r="BP80" s="137">
        <v>18520.275616452</v>
      </c>
      <c r="BQ80" s="137"/>
      <c r="BR80" s="137">
        <v>246.13356099910899</v>
      </c>
      <c r="BS80" s="137">
        <v>453.98719234818799</v>
      </c>
      <c r="BT80" s="137">
        <v>5575.5242011031896</v>
      </c>
      <c r="BU80" s="137"/>
      <c r="BV80" s="137"/>
      <c r="BW80" s="137">
        <v>200.25663651725199</v>
      </c>
      <c r="BX80" s="137">
        <v>4.4830780038735503</v>
      </c>
      <c r="BY80" s="137">
        <v>3665.2230725209201</v>
      </c>
      <c r="BZ80" s="137">
        <v>6.13275880368996E-5</v>
      </c>
      <c r="CA80" s="137">
        <v>2585.4</v>
      </c>
      <c r="CB80" s="137">
        <v>657.9</v>
      </c>
      <c r="CC80" s="127">
        <v>1927.5</v>
      </c>
      <c r="CZ80" s="181"/>
    </row>
    <row r="81" spans="1:104" hidden="1">
      <c r="A81" s="121" t="s">
        <v>511</v>
      </c>
      <c r="B81" s="67"/>
      <c r="C81" s="137"/>
      <c r="D81" s="137"/>
      <c r="E81" s="137"/>
      <c r="F81" s="137"/>
      <c r="G81" s="137"/>
      <c r="H81" s="137"/>
      <c r="I81" s="137">
        <v>0</v>
      </c>
      <c r="J81" s="137">
        <f t="shared" si="1"/>
        <v>0</v>
      </c>
      <c r="K81" s="137"/>
      <c r="L81" s="137"/>
      <c r="M81" s="137"/>
      <c r="N81" s="137"/>
      <c r="O81" s="137"/>
      <c r="P81" s="137"/>
      <c r="Q81" s="137"/>
      <c r="R81" s="137"/>
      <c r="S81" s="137"/>
      <c r="T81" s="137"/>
      <c r="U81" s="137"/>
      <c r="V81" s="137"/>
      <c r="W81" s="137"/>
      <c r="X81" s="137"/>
      <c r="Y81" s="137"/>
      <c r="Z81" s="137"/>
      <c r="AA81" s="137"/>
      <c r="AB81" s="137"/>
      <c r="AC81" s="137"/>
      <c r="AD81" s="137"/>
      <c r="AE81" s="137"/>
      <c r="AF81" s="137"/>
      <c r="AG81" s="137"/>
      <c r="AH81" s="137"/>
      <c r="AI81" s="137"/>
      <c r="AJ81" s="137"/>
      <c r="AK81" s="137"/>
      <c r="AL81" s="137"/>
      <c r="AM81" s="137"/>
      <c r="AN81" s="137"/>
      <c r="AO81" s="137"/>
      <c r="AP81" s="137"/>
      <c r="AQ81" s="137"/>
      <c r="AR81" s="137"/>
      <c r="AS81" s="137"/>
      <c r="AT81" s="137"/>
      <c r="AU81" s="137"/>
      <c r="AV81" s="137"/>
      <c r="AW81" s="137"/>
      <c r="AX81" s="137"/>
      <c r="AY81" s="137"/>
      <c r="AZ81" s="137"/>
      <c r="BA81" s="137"/>
      <c r="BB81" s="137"/>
      <c r="BC81" s="137"/>
      <c r="BD81" s="137"/>
      <c r="BE81" s="137"/>
      <c r="BF81" s="137"/>
      <c r="BG81" s="137"/>
      <c r="BH81" s="137"/>
      <c r="BI81" s="137"/>
      <c r="BJ81" s="137"/>
      <c r="BK81" s="137"/>
      <c r="BL81" s="137"/>
      <c r="BM81" s="137"/>
      <c r="BN81" s="137"/>
      <c r="BO81" s="137"/>
      <c r="BP81" s="137"/>
      <c r="BQ81" s="137"/>
      <c r="BR81" s="137"/>
      <c r="BS81" s="137"/>
      <c r="BT81" s="137"/>
      <c r="BU81" s="137"/>
      <c r="BV81" s="137"/>
      <c r="BW81" s="137"/>
      <c r="BX81" s="137"/>
      <c r="BY81" s="137"/>
      <c r="BZ81" s="137"/>
      <c r="CA81" s="137"/>
      <c r="CB81" s="137"/>
      <c r="CC81" s="127"/>
    </row>
    <row r="82" spans="1:104" hidden="1">
      <c r="A82" s="121" t="s">
        <v>512</v>
      </c>
      <c r="B82" s="67" t="s">
        <v>152</v>
      </c>
      <c r="C82" s="137">
        <v>4442.9971043867699</v>
      </c>
      <c r="D82" s="137"/>
      <c r="E82" s="137">
        <v>4380.9436775352897</v>
      </c>
      <c r="F82" s="137"/>
      <c r="G82" s="137"/>
      <c r="H82" s="137"/>
      <c r="I82" s="137">
        <v>237126.82905869</v>
      </c>
      <c r="J82" s="137">
        <f t="shared" si="1"/>
        <v>0</v>
      </c>
      <c r="K82" s="137"/>
      <c r="L82" s="137"/>
      <c r="M82" s="137"/>
      <c r="N82" s="137"/>
      <c r="O82" s="137"/>
      <c r="P82" s="137"/>
      <c r="Q82" s="137"/>
      <c r="R82" s="137"/>
      <c r="S82" s="137"/>
      <c r="T82" s="137"/>
      <c r="U82" s="137"/>
      <c r="V82" s="137"/>
      <c r="W82" s="137"/>
      <c r="X82" s="137">
        <v>122729.449688976</v>
      </c>
      <c r="Y82" s="137">
        <v>118456.42724426799</v>
      </c>
      <c r="Z82" s="137"/>
      <c r="AA82" s="137"/>
      <c r="AB82" s="137">
        <v>4462.3010775964303</v>
      </c>
      <c r="AC82" s="137">
        <v>2364.5030341818801</v>
      </c>
      <c r="AD82" s="137"/>
      <c r="AE82" s="137"/>
      <c r="AF82" s="137"/>
      <c r="AG82" s="137"/>
      <c r="AH82" s="137"/>
      <c r="AI82" s="137"/>
      <c r="AJ82" s="137"/>
      <c r="AK82" s="137"/>
      <c r="AL82" s="137">
        <v>423622.264660549</v>
      </c>
      <c r="AM82" s="137"/>
      <c r="AN82" s="137">
        <v>1700.67925848906</v>
      </c>
      <c r="AO82" s="137">
        <v>1120.1412606090701</v>
      </c>
      <c r="AP82" s="137">
        <v>83.694877986294301</v>
      </c>
      <c r="AQ82" s="137">
        <v>365961.49540741002</v>
      </c>
      <c r="AR82" s="137">
        <v>365738.81461049902</v>
      </c>
      <c r="AS82" s="137">
        <v>57651.4869152889</v>
      </c>
      <c r="AT82" s="137"/>
      <c r="AU82" s="137"/>
      <c r="AV82" s="137"/>
      <c r="AW82" s="137"/>
      <c r="AX82" s="137"/>
      <c r="AY82" s="137"/>
      <c r="AZ82" s="137">
        <v>339193.76304365502</v>
      </c>
      <c r="BA82" s="137">
        <v>116442.379279024</v>
      </c>
      <c r="BB82" s="137">
        <v>84398.435232391697</v>
      </c>
      <c r="BC82" s="137"/>
      <c r="BD82" s="137"/>
      <c r="BE82" s="137"/>
      <c r="BF82" s="137"/>
      <c r="BG82" s="137"/>
      <c r="BH82" s="137">
        <v>62113.082396113699</v>
      </c>
      <c r="BI82" s="137"/>
      <c r="BJ82" s="137"/>
      <c r="BK82" s="137"/>
      <c r="BL82" s="137"/>
      <c r="BM82" s="137"/>
      <c r="BN82" s="137">
        <v>127214.366865544</v>
      </c>
      <c r="BO82" s="137">
        <v>71036.741315117499</v>
      </c>
      <c r="BP82" s="137">
        <v>333904.025886419</v>
      </c>
      <c r="BQ82" s="137"/>
      <c r="BR82" s="137">
        <v>4434.1650187960304</v>
      </c>
      <c r="BS82" s="137">
        <v>22593.320439207899</v>
      </c>
      <c r="BT82" s="137">
        <v>249354.740909427</v>
      </c>
      <c r="BU82" s="137"/>
      <c r="BV82" s="137"/>
      <c r="BW82" s="137">
        <v>9190.6379448558691</v>
      </c>
      <c r="BX82" s="137">
        <v>205.75557380287901</v>
      </c>
      <c r="BY82" s="137">
        <v>176151.50631605499</v>
      </c>
      <c r="BZ82" s="137">
        <v>2.48362924455899E-3</v>
      </c>
      <c r="CA82" s="137">
        <v>134791.88389704601</v>
      </c>
      <c r="CB82" s="137">
        <v>30510.891528726901</v>
      </c>
      <c r="CC82" s="127">
        <v>104280.99236753301</v>
      </c>
      <c r="CZ82" s="181"/>
    </row>
    <row r="83" spans="1:104" hidden="1">
      <c r="A83" s="121" t="s">
        <v>513</v>
      </c>
      <c r="B83" s="67"/>
      <c r="C83" s="137"/>
      <c r="D83" s="137"/>
      <c r="E83" s="137"/>
      <c r="F83" s="137"/>
      <c r="G83" s="137"/>
      <c r="H83" s="137"/>
      <c r="I83" s="137">
        <v>0</v>
      </c>
      <c r="J83" s="137">
        <f t="shared" si="1"/>
        <v>0</v>
      </c>
      <c r="K83" s="137"/>
      <c r="L83" s="137"/>
      <c r="M83" s="137"/>
      <c r="N83" s="137"/>
      <c r="O83" s="137"/>
      <c r="P83" s="137"/>
      <c r="Q83" s="137"/>
      <c r="R83" s="137"/>
      <c r="S83" s="137"/>
      <c r="T83" s="137"/>
      <c r="U83" s="137"/>
      <c r="V83" s="137"/>
      <c r="W83" s="137"/>
      <c r="X83" s="137"/>
      <c r="Y83" s="137"/>
      <c r="Z83" s="137"/>
      <c r="AA83" s="137"/>
      <c r="AB83" s="137"/>
      <c r="AC83" s="137"/>
      <c r="AD83" s="137"/>
      <c r="AE83" s="137"/>
      <c r="AF83" s="137"/>
      <c r="AG83" s="137"/>
      <c r="AH83" s="137"/>
      <c r="AI83" s="137"/>
      <c r="AJ83" s="137"/>
      <c r="AK83" s="137"/>
      <c r="AL83" s="137"/>
      <c r="AM83" s="137"/>
      <c r="AN83" s="137"/>
      <c r="AO83" s="137"/>
      <c r="AP83" s="137"/>
      <c r="AQ83" s="137"/>
      <c r="AR83" s="137"/>
      <c r="AS83" s="137"/>
      <c r="AT83" s="137"/>
      <c r="AU83" s="137"/>
      <c r="AV83" s="137"/>
      <c r="AW83" s="137"/>
      <c r="AX83" s="137"/>
      <c r="AY83" s="137"/>
      <c r="AZ83" s="137"/>
      <c r="BA83" s="137"/>
      <c r="BB83" s="137"/>
      <c r="BC83" s="137"/>
      <c r="BD83" s="137"/>
      <c r="BE83" s="137"/>
      <c r="BF83" s="137"/>
      <c r="BG83" s="137"/>
      <c r="BH83" s="137"/>
      <c r="BI83" s="137"/>
      <c r="BJ83" s="137"/>
      <c r="BK83" s="137"/>
      <c r="BL83" s="137"/>
      <c r="BM83" s="137"/>
      <c r="BN83" s="137"/>
      <c r="BO83" s="137"/>
      <c r="BP83" s="137"/>
      <c r="BQ83" s="137"/>
      <c r="BR83" s="137"/>
      <c r="BS83" s="137"/>
      <c r="BT83" s="137"/>
      <c r="BU83" s="137"/>
      <c r="BV83" s="137"/>
      <c r="BW83" s="137"/>
      <c r="BX83" s="137"/>
      <c r="BY83" s="137"/>
      <c r="BZ83" s="137"/>
      <c r="CA83" s="137"/>
      <c r="CB83" s="137"/>
      <c r="CC83" s="127"/>
    </row>
    <row r="84" spans="1:104" hidden="1">
      <c r="A84" s="121" t="s">
        <v>514</v>
      </c>
      <c r="B84" s="67" t="s">
        <v>515</v>
      </c>
      <c r="C84" s="137">
        <v>4.4560968821051397</v>
      </c>
      <c r="D84" s="137"/>
      <c r="E84" s="137">
        <v>4.4148923559212401</v>
      </c>
      <c r="F84" s="137"/>
      <c r="G84" s="137"/>
      <c r="H84" s="137"/>
      <c r="I84" s="137">
        <v>216.89495795963097</v>
      </c>
      <c r="J84" s="137">
        <f t="shared" si="1"/>
        <v>0</v>
      </c>
      <c r="K84" s="137"/>
      <c r="L84" s="137"/>
      <c r="M84" s="137"/>
      <c r="N84" s="137"/>
      <c r="O84" s="137"/>
      <c r="P84" s="137"/>
      <c r="Q84" s="137"/>
      <c r="R84" s="137"/>
      <c r="S84" s="137"/>
      <c r="T84" s="137"/>
      <c r="U84" s="137"/>
      <c r="V84" s="137"/>
      <c r="W84" s="137"/>
      <c r="X84" s="137">
        <v>123.638511929413</v>
      </c>
      <c r="Y84" s="137">
        <v>129.633473895799</v>
      </c>
      <c r="Z84" s="137"/>
      <c r="AA84" s="137"/>
      <c r="AB84" s="137">
        <v>4.4928411971179596</v>
      </c>
      <c r="AC84" s="137">
        <v>2.5861801645487099</v>
      </c>
      <c r="AD84" s="137"/>
      <c r="AE84" s="137"/>
      <c r="AF84" s="137"/>
      <c r="AG84" s="137"/>
      <c r="AH84" s="137"/>
      <c r="AI84" s="137"/>
      <c r="AJ84" s="137"/>
      <c r="AK84" s="137"/>
      <c r="AL84" s="137">
        <v>529.62177279108198</v>
      </c>
      <c r="AM84" s="137"/>
      <c r="AN84" s="137">
        <v>1.7121749351748099</v>
      </c>
      <c r="AO84" s="137">
        <v>1.1333481502990701</v>
      </c>
      <c r="AP84" s="137">
        <v>8.4260610326935007E-2</v>
      </c>
      <c r="AQ84" s="137">
        <v>444.16413611833599</v>
      </c>
      <c r="AR84" s="137">
        <v>462.11872244046799</v>
      </c>
      <c r="AS84" s="137">
        <v>68.092159880285905</v>
      </c>
      <c r="AT84" s="137"/>
      <c r="AU84" s="137"/>
      <c r="AV84" s="137"/>
      <c r="AW84" s="137"/>
      <c r="AX84" s="137"/>
      <c r="AY84" s="137"/>
      <c r="AZ84" s="137">
        <v>492.51504492380502</v>
      </c>
      <c r="BA84" s="137">
        <v>156.38720135529201</v>
      </c>
      <c r="BB84" s="137">
        <v>100.026927936934</v>
      </c>
      <c r="BC84" s="137"/>
      <c r="BD84" s="137"/>
      <c r="BE84" s="137"/>
      <c r="BF84" s="137"/>
      <c r="BG84" s="137"/>
      <c r="BH84" s="137">
        <v>87.039845612705506</v>
      </c>
      <c r="BI84" s="137"/>
      <c r="BJ84" s="137"/>
      <c r="BK84" s="137"/>
      <c r="BL84" s="137"/>
      <c r="BM84" s="137"/>
      <c r="BN84" s="137">
        <v>180.846768467554</v>
      </c>
      <c r="BO84" s="137">
        <v>77.713109671755205</v>
      </c>
      <c r="BP84" s="137">
        <v>355.81953014893799</v>
      </c>
      <c r="BQ84" s="137"/>
      <c r="BR84" s="137">
        <v>4.4947652785114602</v>
      </c>
      <c r="BS84" s="137">
        <v>33.274382097148397</v>
      </c>
      <c r="BT84" s="137">
        <v>338.70991275683502</v>
      </c>
      <c r="BU84" s="137"/>
      <c r="BV84" s="137"/>
      <c r="BW84" s="137">
        <v>12.6689766479833</v>
      </c>
      <c r="BX84" s="137">
        <v>0.283630928864753</v>
      </c>
      <c r="BY84" s="137">
        <v>251.385708548374</v>
      </c>
      <c r="BZ84" s="137">
        <v>2.9803293491792099E-6</v>
      </c>
      <c r="CA84" s="137">
        <v>311.67341255486099</v>
      </c>
      <c r="CB84" s="137">
        <v>60.224750152039</v>
      </c>
      <c r="CC84" s="127">
        <v>223.32531768451301</v>
      </c>
      <c r="CZ84" s="181"/>
    </row>
    <row r="85" spans="1:104">
      <c r="A85" s="196" t="s">
        <v>518</v>
      </c>
      <c r="B85" s="197"/>
      <c r="C85" s="198"/>
      <c r="D85" s="198"/>
      <c r="E85" s="198"/>
      <c r="F85" s="198"/>
      <c r="G85" s="198"/>
      <c r="H85" s="198"/>
      <c r="I85" s="198">
        <v>0</v>
      </c>
      <c r="J85" s="198">
        <f t="shared" si="1"/>
        <v>0</v>
      </c>
      <c r="K85" s="198"/>
      <c r="L85" s="198"/>
      <c r="M85" s="198"/>
      <c r="N85" s="198"/>
      <c r="O85" s="198"/>
      <c r="P85" s="198"/>
      <c r="Q85" s="198"/>
      <c r="R85" s="198"/>
      <c r="S85" s="198"/>
      <c r="T85" s="198"/>
      <c r="U85" s="198"/>
      <c r="V85" s="198"/>
      <c r="W85" s="198"/>
      <c r="X85" s="198"/>
      <c r="Y85" s="198"/>
      <c r="Z85" s="198"/>
      <c r="AA85" s="198"/>
      <c r="AB85" s="198"/>
      <c r="AC85" s="198"/>
      <c r="AD85" s="198"/>
      <c r="AE85" s="198"/>
      <c r="AF85" s="198"/>
      <c r="AG85" s="198"/>
      <c r="AH85" s="198"/>
      <c r="AI85" s="198"/>
      <c r="AJ85" s="198"/>
      <c r="AK85" s="198"/>
      <c r="AL85" s="198"/>
      <c r="AM85" s="198"/>
      <c r="AN85" s="198"/>
      <c r="AO85" s="198"/>
      <c r="AP85" s="198"/>
      <c r="AQ85" s="198"/>
      <c r="AR85" s="198"/>
      <c r="AS85" s="198"/>
      <c r="AT85" s="198"/>
      <c r="AU85" s="198"/>
      <c r="AV85" s="198"/>
      <c r="AW85" s="198"/>
      <c r="AX85" s="198"/>
      <c r="AY85" s="198"/>
      <c r="AZ85" s="198"/>
      <c r="BA85" s="198"/>
      <c r="BB85" s="198"/>
      <c r="BC85" s="198"/>
      <c r="BD85" s="198"/>
      <c r="BE85" s="198"/>
      <c r="BF85" s="198"/>
      <c r="BG85" s="198"/>
      <c r="BH85" s="198"/>
      <c r="BI85" s="198"/>
      <c r="BJ85" s="198"/>
      <c r="BK85" s="198"/>
      <c r="BL85" s="198"/>
      <c r="BM85" s="198"/>
      <c r="BN85" s="198"/>
      <c r="BO85" s="198"/>
      <c r="BP85" s="198"/>
      <c r="BQ85" s="198"/>
      <c r="BR85" s="198"/>
      <c r="BS85" s="198"/>
      <c r="BT85" s="198"/>
      <c r="BU85" s="198"/>
      <c r="BV85" s="198"/>
      <c r="BW85" s="198"/>
      <c r="BX85" s="198"/>
      <c r="BY85" s="198"/>
      <c r="BZ85" s="198"/>
      <c r="CA85" s="198"/>
      <c r="CB85" s="198"/>
      <c r="CC85" s="199"/>
    </row>
    <row r="86" spans="1:104" hidden="1">
      <c r="A86" s="121" t="s">
        <v>504</v>
      </c>
      <c r="B86" s="67" t="s">
        <v>505</v>
      </c>
      <c r="C86" s="137"/>
      <c r="D86" s="137"/>
      <c r="E86" s="137"/>
      <c r="F86" s="137"/>
      <c r="G86" s="137"/>
      <c r="H86" s="137"/>
      <c r="I86" s="137">
        <v>-52.0496320387469</v>
      </c>
      <c r="J86" s="137">
        <f t="shared" si="1"/>
        <v>0</v>
      </c>
      <c r="K86" s="137"/>
      <c r="L86" s="137"/>
      <c r="M86" s="137"/>
      <c r="N86" s="137"/>
      <c r="O86" s="137"/>
      <c r="P86" s="137"/>
      <c r="Q86" s="137"/>
      <c r="R86" s="137"/>
      <c r="S86" s="137"/>
      <c r="T86" s="137"/>
      <c r="U86" s="137"/>
      <c r="V86" s="137"/>
      <c r="W86" s="137"/>
      <c r="X86" s="137"/>
      <c r="Y86" s="137">
        <v>50.695549541032698</v>
      </c>
      <c r="Z86" s="137"/>
      <c r="AA86" s="137"/>
      <c r="AB86" s="137"/>
      <c r="AC86" s="137">
        <v>50.693927625689703</v>
      </c>
      <c r="AD86" s="137"/>
      <c r="AE86" s="137"/>
      <c r="AF86" s="137"/>
      <c r="AG86" s="137"/>
      <c r="AH86" s="137"/>
      <c r="AI86" s="137"/>
      <c r="AJ86" s="137"/>
      <c r="AK86" s="137"/>
      <c r="AL86" s="137">
        <v>23.851897066396699</v>
      </c>
      <c r="AM86" s="137"/>
      <c r="AN86" s="137"/>
      <c r="AO86" s="137"/>
      <c r="AP86" s="137"/>
      <c r="AQ86" s="137">
        <v>28.849435841165899</v>
      </c>
      <c r="AR86" s="137">
        <v>27.644879831889501</v>
      </c>
      <c r="AS86" s="137">
        <v>46.995131387019903</v>
      </c>
      <c r="AT86" s="137"/>
      <c r="AU86" s="137"/>
      <c r="AV86" s="137"/>
      <c r="AW86" s="137"/>
      <c r="AX86" s="137"/>
      <c r="AY86" s="137"/>
      <c r="AZ86" s="137">
        <v>21.441133703601501</v>
      </c>
      <c r="BA86" s="137">
        <v>36.3565557202013</v>
      </c>
      <c r="BB86" s="137">
        <v>46.7874011181339</v>
      </c>
      <c r="BC86" s="137"/>
      <c r="BD86" s="137"/>
      <c r="BE86" s="137"/>
      <c r="BF86" s="137"/>
      <c r="BG86" s="137"/>
      <c r="BH86" s="137">
        <v>16.395332487933601</v>
      </c>
      <c r="BI86" s="137"/>
      <c r="BJ86" s="137"/>
      <c r="BK86" s="137"/>
      <c r="BL86" s="137"/>
      <c r="BM86" s="137"/>
      <c r="BN86" s="137">
        <v>29.5476935886512</v>
      </c>
      <c r="BO86" s="137">
        <v>50.671265107812097</v>
      </c>
      <c r="BP86" s="137">
        <v>52.0496320387469</v>
      </c>
      <c r="BQ86" s="137"/>
      <c r="BR86" s="137"/>
      <c r="BS86" s="137"/>
      <c r="BT86" s="137">
        <v>15.8789829516593</v>
      </c>
      <c r="BU86" s="137"/>
      <c r="BV86" s="137"/>
      <c r="BW86" s="137">
        <v>15.8068518145962</v>
      </c>
      <c r="BX86" s="137">
        <v>15.806026591730699</v>
      </c>
      <c r="BY86" s="137">
        <v>13.5814565744886</v>
      </c>
      <c r="BZ86" s="137">
        <v>20.577453311926501</v>
      </c>
      <c r="CA86" s="137">
        <v>8.2952215230900492</v>
      </c>
      <c r="CB86" s="137">
        <v>10.924080188612001</v>
      </c>
      <c r="CC86" s="127">
        <v>8.6309067864976203</v>
      </c>
      <c r="CZ86" s="181"/>
    </row>
    <row r="87" spans="1:104" hidden="1">
      <c r="A87" s="121" t="s">
        <v>506</v>
      </c>
      <c r="B87" s="67" t="s">
        <v>507</v>
      </c>
      <c r="C87" s="137"/>
      <c r="D87" s="137"/>
      <c r="E87" s="137"/>
      <c r="F87" s="137"/>
      <c r="G87" s="137"/>
      <c r="H87" s="137"/>
      <c r="I87" s="137">
        <v>-938.40837164461902</v>
      </c>
      <c r="J87" s="137">
        <f t="shared" si="1"/>
        <v>0</v>
      </c>
      <c r="K87" s="137"/>
      <c r="L87" s="137"/>
      <c r="M87" s="137"/>
      <c r="N87" s="137"/>
      <c r="O87" s="137"/>
      <c r="P87" s="137"/>
      <c r="Q87" s="137"/>
      <c r="R87" s="137"/>
      <c r="S87" s="137"/>
      <c r="T87" s="137"/>
      <c r="U87" s="137"/>
      <c r="V87" s="137"/>
      <c r="W87" s="137"/>
      <c r="X87" s="137"/>
      <c r="Y87" s="137">
        <v>913.77962561957702</v>
      </c>
      <c r="Z87" s="137"/>
      <c r="AA87" s="137"/>
      <c r="AB87" s="137"/>
      <c r="AC87" s="137">
        <v>914.28395693170296</v>
      </c>
      <c r="AD87" s="137"/>
      <c r="AE87" s="137"/>
      <c r="AF87" s="137"/>
      <c r="AG87" s="137"/>
      <c r="AH87" s="137"/>
      <c r="AI87" s="137"/>
      <c r="AJ87" s="137"/>
      <c r="AK87" s="137"/>
      <c r="AL87" s="137">
        <v>776.76809946493995</v>
      </c>
      <c r="AM87" s="137"/>
      <c r="AN87" s="137"/>
      <c r="AO87" s="137"/>
      <c r="AP87" s="137"/>
      <c r="AQ87" s="137">
        <v>823.93301405566103</v>
      </c>
      <c r="AR87" s="137">
        <v>791.43907582669999</v>
      </c>
      <c r="AS87" s="137">
        <v>846.66850070033195</v>
      </c>
      <c r="AT87" s="137"/>
      <c r="AU87" s="137"/>
      <c r="AV87" s="137"/>
      <c r="AW87" s="137"/>
      <c r="AX87" s="137"/>
      <c r="AY87" s="137"/>
      <c r="AZ87" s="137">
        <v>688.69726222501504</v>
      </c>
      <c r="BA87" s="137">
        <v>744.57742238434003</v>
      </c>
      <c r="BB87" s="137">
        <v>843.757145931786</v>
      </c>
      <c r="BC87" s="137"/>
      <c r="BD87" s="137"/>
      <c r="BE87" s="137"/>
      <c r="BF87" s="137"/>
      <c r="BG87" s="137"/>
      <c r="BH87" s="137">
        <v>713.61664257187999</v>
      </c>
      <c r="BI87" s="137"/>
      <c r="BJ87" s="137"/>
      <c r="BK87" s="137"/>
      <c r="BL87" s="137"/>
      <c r="BM87" s="137"/>
      <c r="BN87" s="137">
        <v>703.43732400376302</v>
      </c>
      <c r="BO87" s="137">
        <v>914.08954827779701</v>
      </c>
      <c r="BP87" s="137">
        <v>938.40837164461902</v>
      </c>
      <c r="BQ87" s="137"/>
      <c r="BR87" s="137"/>
      <c r="BS87" s="137"/>
      <c r="BT87" s="137">
        <v>732.27485861541095</v>
      </c>
      <c r="BU87" s="137"/>
      <c r="BV87" s="137"/>
      <c r="BW87" s="137">
        <v>725.44438278042503</v>
      </c>
      <c r="BX87" s="137">
        <v>725.43419233729799</v>
      </c>
      <c r="BY87" s="137">
        <v>693.44755920294699</v>
      </c>
      <c r="BZ87" s="137">
        <v>833.34053172444999</v>
      </c>
      <c r="CA87" s="137">
        <v>432.47796721614901</v>
      </c>
      <c r="CB87" s="137">
        <v>506.61715410526801</v>
      </c>
      <c r="CC87" s="127">
        <v>466.94657573418698</v>
      </c>
      <c r="CZ87" s="181"/>
    </row>
    <row r="88" spans="1:104">
      <c r="A88" s="121" t="s">
        <v>508</v>
      </c>
      <c r="B88" s="67" t="s">
        <v>509</v>
      </c>
      <c r="C88" s="186"/>
      <c r="D88" s="186"/>
      <c r="E88" s="186"/>
      <c r="F88" s="186"/>
      <c r="G88" s="186"/>
      <c r="H88" s="186"/>
      <c r="I88" s="186"/>
      <c r="J88" s="186">
        <f t="shared" si="1"/>
        <v>0</v>
      </c>
      <c r="K88" s="186"/>
      <c r="L88" s="186"/>
      <c r="M88" s="186"/>
      <c r="N88" s="186"/>
      <c r="O88" s="186"/>
      <c r="P88" s="186"/>
      <c r="Q88" s="186"/>
      <c r="R88" s="186"/>
      <c r="S88" s="186"/>
      <c r="T88" s="186"/>
      <c r="U88" s="186"/>
      <c r="V88" s="186"/>
      <c r="W88" s="186"/>
      <c r="X88" s="186"/>
      <c r="Y88" s="186">
        <v>6571.8401980606404</v>
      </c>
      <c r="Z88" s="186"/>
      <c r="AA88" s="186"/>
      <c r="AB88" s="186"/>
      <c r="AC88" s="186">
        <v>131.103630088627</v>
      </c>
      <c r="AD88" s="186"/>
      <c r="AE88" s="186"/>
      <c r="AF88" s="186"/>
      <c r="AG88" s="186"/>
      <c r="AH88" s="186"/>
      <c r="AI88" s="186"/>
      <c r="AJ88" s="186"/>
      <c r="AK88" s="186"/>
      <c r="AL88" s="186">
        <v>11290.8333324378</v>
      </c>
      <c r="AM88" s="186"/>
      <c r="AN88" s="186"/>
      <c r="AO88" s="186"/>
      <c r="AP88" s="186"/>
      <c r="AQ88" s="186">
        <v>12813.8847478928</v>
      </c>
      <c r="AR88" s="186">
        <v>12775.216549933</v>
      </c>
      <c r="AS88" s="186">
        <v>3200</v>
      </c>
      <c r="AT88" s="186"/>
      <c r="AU88" s="186"/>
      <c r="AV88" s="186"/>
      <c r="AW88" s="186"/>
      <c r="AX88" s="186"/>
      <c r="AY88" s="186"/>
      <c r="AZ88" s="186">
        <v>10560.0809292466</v>
      </c>
      <c r="BA88" s="186">
        <v>5685.7000000000098</v>
      </c>
      <c r="BB88" s="186">
        <v>4680</v>
      </c>
      <c r="BC88" s="186"/>
      <c r="BD88" s="186"/>
      <c r="BE88" s="186"/>
      <c r="BF88" s="186"/>
      <c r="BG88" s="186"/>
      <c r="BH88" s="186">
        <v>1427.04720851872</v>
      </c>
      <c r="BI88" s="186"/>
      <c r="BJ88" s="186"/>
      <c r="BK88" s="186"/>
      <c r="BL88" s="186"/>
      <c r="BM88" s="186"/>
      <c r="BN88" s="186">
        <v>5343.6049011770301</v>
      </c>
      <c r="BO88" s="186">
        <v>3937.8215825299699</v>
      </c>
      <c r="BP88" s="186">
        <v>18520.275616452</v>
      </c>
      <c r="BQ88" s="186"/>
      <c r="BR88" s="186"/>
      <c r="BS88" s="186"/>
      <c r="BT88" s="186">
        <v>5299.16022785729</v>
      </c>
      <c r="BU88" s="186"/>
      <c r="BV88" s="186"/>
      <c r="BW88" s="186">
        <v>200.25663651725199</v>
      </c>
      <c r="BX88" s="186">
        <v>4.4830780038735503</v>
      </c>
      <c r="BY88" s="186">
        <v>3332.6591959704701</v>
      </c>
      <c r="BZ88" s="186">
        <v>6.13275880368996E-5</v>
      </c>
      <c r="CA88" s="186">
        <v>2585.4</v>
      </c>
      <c r="CB88" s="186">
        <v>657.9</v>
      </c>
      <c r="CC88" s="187">
        <v>1927.5</v>
      </c>
      <c r="CZ88" s="181"/>
    </row>
    <row r="89" spans="1:104" hidden="1">
      <c r="A89" s="121" t="s">
        <v>511</v>
      </c>
      <c r="B89" s="67"/>
      <c r="C89" s="137"/>
      <c r="D89" s="137"/>
      <c r="E89" s="137"/>
      <c r="F89" s="137"/>
      <c r="G89" s="137"/>
      <c r="H89" s="137"/>
      <c r="I89" s="137"/>
      <c r="J89" s="137">
        <f t="shared" si="1"/>
        <v>0</v>
      </c>
      <c r="K89" s="137"/>
      <c r="L89" s="137"/>
      <c r="M89" s="137"/>
      <c r="N89" s="137"/>
      <c r="O89" s="137"/>
      <c r="P89" s="137"/>
      <c r="Q89" s="137"/>
      <c r="R89" s="137"/>
      <c r="S89" s="137"/>
      <c r="T89" s="137"/>
      <c r="U89" s="137"/>
      <c r="V89" s="137"/>
      <c r="W89" s="137"/>
      <c r="X89" s="137"/>
      <c r="Y89" s="137"/>
      <c r="Z89" s="137"/>
      <c r="AA89" s="137"/>
      <c r="AB89" s="137"/>
      <c r="AC89" s="137"/>
      <c r="AD89" s="137"/>
      <c r="AE89" s="137"/>
      <c r="AF89" s="137"/>
      <c r="AG89" s="137"/>
      <c r="AH89" s="137"/>
      <c r="AI89" s="137"/>
      <c r="AJ89" s="137"/>
      <c r="AK89" s="137"/>
      <c r="AL89" s="137"/>
      <c r="AM89" s="137"/>
      <c r="AN89" s="137"/>
      <c r="AO89" s="137"/>
      <c r="AP89" s="137"/>
      <c r="AQ89" s="137"/>
      <c r="AR89" s="137"/>
      <c r="AS89" s="137"/>
      <c r="AT89" s="137"/>
      <c r="AU89" s="137"/>
      <c r="AV89" s="137"/>
      <c r="AW89" s="137"/>
      <c r="AX89" s="137"/>
      <c r="AY89" s="137"/>
      <c r="AZ89" s="137"/>
      <c r="BA89" s="137"/>
      <c r="BB89" s="137"/>
      <c r="BC89" s="137"/>
      <c r="BD89" s="137"/>
      <c r="BE89" s="137"/>
      <c r="BF89" s="137"/>
      <c r="BG89" s="137"/>
      <c r="BH89" s="137"/>
      <c r="BI89" s="137"/>
      <c r="BJ89" s="137"/>
      <c r="BK89" s="137"/>
      <c r="BL89" s="137"/>
      <c r="BM89" s="137"/>
      <c r="BN89" s="137"/>
      <c r="BO89" s="137"/>
      <c r="BP89" s="137"/>
      <c r="BQ89" s="137"/>
      <c r="BR89" s="137"/>
      <c r="BS89" s="137"/>
      <c r="BT89" s="137"/>
      <c r="BU89" s="137"/>
      <c r="BV89" s="137"/>
      <c r="BW89" s="137"/>
      <c r="BX89" s="137"/>
      <c r="BY89" s="137"/>
      <c r="BZ89" s="137"/>
      <c r="CA89" s="137"/>
      <c r="CB89" s="137"/>
      <c r="CC89" s="127"/>
    </row>
    <row r="90" spans="1:104">
      <c r="A90" s="121" t="s">
        <v>512</v>
      </c>
      <c r="B90" s="67" t="s">
        <v>152</v>
      </c>
      <c r="C90" s="194"/>
      <c r="D90" s="194"/>
      <c r="E90" s="194"/>
      <c r="F90" s="194"/>
      <c r="G90" s="194"/>
      <c r="H90" s="194"/>
      <c r="I90" s="194"/>
      <c r="J90" s="194">
        <f t="shared" si="1"/>
        <v>0</v>
      </c>
      <c r="K90" s="194"/>
      <c r="L90" s="194"/>
      <c r="M90" s="194"/>
      <c r="N90" s="194"/>
      <c r="O90" s="194"/>
      <c r="P90" s="194"/>
      <c r="Q90" s="194"/>
      <c r="R90" s="194"/>
      <c r="S90" s="194"/>
      <c r="T90" s="194"/>
      <c r="U90" s="194"/>
      <c r="V90" s="194"/>
      <c r="W90" s="194"/>
      <c r="X90" s="194"/>
      <c r="Y90" s="194">
        <v>118456.42724426799</v>
      </c>
      <c r="Z90" s="194"/>
      <c r="AA90" s="194"/>
      <c r="AB90" s="194"/>
      <c r="AC90" s="194">
        <v>2364.5030341818801</v>
      </c>
      <c r="AD90" s="194"/>
      <c r="AE90" s="194"/>
      <c r="AF90" s="194"/>
      <c r="AG90" s="194"/>
      <c r="AH90" s="194"/>
      <c r="AI90" s="194"/>
      <c r="AJ90" s="194"/>
      <c r="AK90" s="194"/>
      <c r="AL90" s="194">
        <v>367700.69586494501</v>
      </c>
      <c r="AM90" s="194"/>
      <c r="AN90" s="194"/>
      <c r="AO90" s="194"/>
      <c r="AP90" s="194"/>
      <c r="AQ90" s="194">
        <v>365961.49540741002</v>
      </c>
      <c r="AR90" s="194">
        <v>365738.81461049902</v>
      </c>
      <c r="AS90" s="194">
        <v>57651.4869152889</v>
      </c>
      <c r="AT90" s="194"/>
      <c r="AU90" s="194"/>
      <c r="AV90" s="194"/>
      <c r="AW90" s="194"/>
      <c r="AX90" s="194"/>
      <c r="AY90" s="194"/>
      <c r="AZ90" s="194">
        <v>339193.76304365502</v>
      </c>
      <c r="BA90" s="194">
        <v>116442.379279024</v>
      </c>
      <c r="BB90" s="194">
        <v>84398.435232391697</v>
      </c>
      <c r="BC90" s="194"/>
      <c r="BD90" s="194"/>
      <c r="BE90" s="194"/>
      <c r="BF90" s="194"/>
      <c r="BG90" s="194"/>
      <c r="BH90" s="194">
        <v>62113.082396113699</v>
      </c>
      <c r="BI90" s="194"/>
      <c r="BJ90" s="194"/>
      <c r="BK90" s="194"/>
      <c r="BL90" s="194"/>
      <c r="BM90" s="194"/>
      <c r="BN90" s="194">
        <v>127214.366865544</v>
      </c>
      <c r="BO90" s="194">
        <v>71036.741315117499</v>
      </c>
      <c r="BP90" s="194">
        <v>333904.025886419</v>
      </c>
      <c r="BQ90" s="194"/>
      <c r="BR90" s="194"/>
      <c r="BS90" s="194"/>
      <c r="BT90" s="194">
        <v>244375.96654948901</v>
      </c>
      <c r="BU90" s="194"/>
      <c r="BV90" s="194"/>
      <c r="BW90" s="194">
        <v>9190.6379448558801</v>
      </c>
      <c r="BX90" s="194">
        <v>205.75557380287901</v>
      </c>
      <c r="BY90" s="194">
        <v>170160.27496211199</v>
      </c>
      <c r="BZ90" s="194">
        <v>2.48362924455899E-3</v>
      </c>
      <c r="CA90" s="194">
        <v>134791.88389704601</v>
      </c>
      <c r="CB90" s="194">
        <v>30510.891528726901</v>
      </c>
      <c r="CC90" s="195">
        <v>104280.99236753301</v>
      </c>
      <c r="CZ90" s="181"/>
    </row>
    <row r="91" spans="1:104" hidden="1">
      <c r="A91" s="121" t="s">
        <v>513</v>
      </c>
      <c r="B91" s="67"/>
      <c r="C91" s="137"/>
      <c r="D91" s="137"/>
      <c r="E91" s="137"/>
      <c r="F91" s="137"/>
      <c r="G91" s="137"/>
      <c r="H91" s="137"/>
      <c r="I91" s="137"/>
      <c r="J91" s="137">
        <f t="shared" si="1"/>
        <v>0</v>
      </c>
      <c r="K91" s="137"/>
      <c r="L91" s="137"/>
      <c r="M91" s="137"/>
      <c r="N91" s="137"/>
      <c r="O91" s="137"/>
      <c r="P91" s="137"/>
      <c r="Q91" s="137"/>
      <c r="R91" s="137"/>
      <c r="S91" s="137"/>
      <c r="T91" s="137"/>
      <c r="U91" s="137"/>
      <c r="V91" s="137"/>
      <c r="W91" s="137"/>
      <c r="X91" s="137"/>
      <c r="Y91" s="137"/>
      <c r="Z91" s="137"/>
      <c r="AA91" s="137"/>
      <c r="AB91" s="137"/>
      <c r="AC91" s="137"/>
      <c r="AD91" s="137"/>
      <c r="AE91" s="137"/>
      <c r="AF91" s="137"/>
      <c r="AG91" s="137"/>
      <c r="AH91" s="137"/>
      <c r="AI91" s="137"/>
      <c r="AJ91" s="137"/>
      <c r="AK91" s="137"/>
      <c r="AL91" s="137"/>
      <c r="AM91" s="137"/>
      <c r="AN91" s="137"/>
      <c r="AO91" s="137"/>
      <c r="AP91" s="137"/>
      <c r="AQ91" s="137"/>
      <c r="AR91" s="137"/>
      <c r="AS91" s="137"/>
      <c r="AT91" s="137"/>
      <c r="AU91" s="137"/>
      <c r="AV91" s="137"/>
      <c r="AW91" s="137"/>
      <c r="AX91" s="137"/>
      <c r="AY91" s="137"/>
      <c r="AZ91" s="137"/>
      <c r="BA91" s="137"/>
      <c r="BB91" s="137"/>
      <c r="BC91" s="137"/>
      <c r="BD91" s="137"/>
      <c r="BE91" s="137"/>
      <c r="BF91" s="137"/>
      <c r="BG91" s="137"/>
      <c r="BH91" s="137"/>
      <c r="BI91" s="137"/>
      <c r="BJ91" s="137"/>
      <c r="BK91" s="137"/>
      <c r="BL91" s="137"/>
      <c r="BM91" s="137"/>
      <c r="BN91" s="137"/>
      <c r="BO91" s="137"/>
      <c r="BP91" s="137"/>
      <c r="BQ91" s="137"/>
      <c r="BR91" s="137"/>
      <c r="BS91" s="137"/>
      <c r="BT91" s="137"/>
      <c r="BU91" s="137"/>
      <c r="BV91" s="137"/>
      <c r="BW91" s="137"/>
      <c r="BX91" s="137"/>
      <c r="BY91" s="137"/>
      <c r="BZ91" s="137"/>
      <c r="CA91" s="137"/>
      <c r="CB91" s="137"/>
      <c r="CC91" s="127"/>
    </row>
    <row r="92" spans="1:104">
      <c r="A92" s="121" t="s">
        <v>514</v>
      </c>
      <c r="B92" s="67" t="s">
        <v>515</v>
      </c>
      <c r="C92" s="186"/>
      <c r="D92" s="186"/>
      <c r="E92" s="186"/>
      <c r="F92" s="186"/>
      <c r="G92" s="186"/>
      <c r="H92" s="186"/>
      <c r="I92" s="186"/>
      <c r="J92" s="186">
        <f t="shared" si="1"/>
        <v>0</v>
      </c>
      <c r="K92" s="186"/>
      <c r="L92" s="186"/>
      <c r="M92" s="186"/>
      <c r="N92" s="186"/>
      <c r="O92" s="186"/>
      <c r="P92" s="186"/>
      <c r="Q92" s="186"/>
      <c r="R92" s="186"/>
      <c r="S92" s="186"/>
      <c r="T92" s="186"/>
      <c r="U92" s="186"/>
      <c r="V92" s="186"/>
      <c r="W92" s="186"/>
      <c r="X92" s="186"/>
      <c r="Y92" s="186">
        <v>129.633473895799</v>
      </c>
      <c r="Z92" s="186"/>
      <c r="AA92" s="186"/>
      <c r="AB92" s="186"/>
      <c r="AC92" s="186">
        <v>2.5861801645487099</v>
      </c>
      <c r="AD92" s="186"/>
      <c r="AE92" s="186"/>
      <c r="AF92" s="186"/>
      <c r="AG92" s="186"/>
      <c r="AH92" s="186"/>
      <c r="AI92" s="186"/>
      <c r="AJ92" s="186"/>
      <c r="AK92" s="186"/>
      <c r="AL92" s="186">
        <v>473.37254982307797</v>
      </c>
      <c r="AM92" s="186"/>
      <c r="AN92" s="186"/>
      <c r="AO92" s="186"/>
      <c r="AP92" s="186"/>
      <c r="AQ92" s="186">
        <v>444.16413611833599</v>
      </c>
      <c r="AR92" s="186">
        <v>462.11872244046799</v>
      </c>
      <c r="AS92" s="186">
        <v>68.092159880285905</v>
      </c>
      <c r="AT92" s="186"/>
      <c r="AU92" s="186"/>
      <c r="AV92" s="186"/>
      <c r="AW92" s="186"/>
      <c r="AX92" s="186"/>
      <c r="AY92" s="186"/>
      <c r="AZ92" s="186">
        <v>492.51504492380502</v>
      </c>
      <c r="BA92" s="186">
        <v>156.38720135529201</v>
      </c>
      <c r="BB92" s="186">
        <v>100.026927936934</v>
      </c>
      <c r="BC92" s="186"/>
      <c r="BD92" s="186"/>
      <c r="BE92" s="186"/>
      <c r="BF92" s="186"/>
      <c r="BG92" s="186"/>
      <c r="BH92" s="186">
        <v>87.039845612705506</v>
      </c>
      <c r="BI92" s="186"/>
      <c r="BJ92" s="186"/>
      <c r="BK92" s="186"/>
      <c r="BL92" s="186"/>
      <c r="BM92" s="186"/>
      <c r="BN92" s="186">
        <v>180.846768467554</v>
      </c>
      <c r="BO92" s="186">
        <v>77.713109671755205</v>
      </c>
      <c r="BP92" s="186">
        <v>355.81953014893799</v>
      </c>
      <c r="BQ92" s="186"/>
      <c r="BR92" s="186"/>
      <c r="BS92" s="186"/>
      <c r="BT92" s="186">
        <v>333.72163972904502</v>
      </c>
      <c r="BU92" s="186"/>
      <c r="BV92" s="186"/>
      <c r="BW92" s="186">
        <v>12.6689766479833</v>
      </c>
      <c r="BX92" s="186">
        <v>0.283630928864753</v>
      </c>
      <c r="BY92" s="186">
        <v>245.383046928157</v>
      </c>
      <c r="BZ92" s="186">
        <v>2.9803293491792099E-6</v>
      </c>
      <c r="CA92" s="186">
        <v>311.67341255486099</v>
      </c>
      <c r="CB92" s="186">
        <v>60.224750152039</v>
      </c>
      <c r="CC92" s="187">
        <v>223.32531768451301</v>
      </c>
    </row>
    <row r="93" spans="1:104">
      <c r="A93" s="196" t="s">
        <v>519</v>
      </c>
      <c r="B93" s="197"/>
      <c r="C93" s="198"/>
      <c r="D93" s="198"/>
      <c r="E93" s="198"/>
      <c r="F93" s="198"/>
      <c r="G93" s="198"/>
      <c r="H93" s="198"/>
      <c r="I93" s="198">
        <v>0</v>
      </c>
      <c r="J93" s="198">
        <f t="shared" si="1"/>
        <v>0</v>
      </c>
      <c r="K93" s="198"/>
      <c r="L93" s="198"/>
      <c r="M93" s="198"/>
      <c r="N93" s="198"/>
      <c r="O93" s="198"/>
      <c r="P93" s="198"/>
      <c r="Q93" s="198"/>
      <c r="R93" s="198"/>
      <c r="S93" s="198"/>
      <c r="T93" s="198"/>
      <c r="U93" s="198"/>
      <c r="V93" s="198"/>
      <c r="W93" s="198"/>
      <c r="X93" s="198"/>
      <c r="Y93" s="198"/>
      <c r="Z93" s="198"/>
      <c r="AA93" s="198"/>
      <c r="AB93" s="198"/>
      <c r="AC93" s="198"/>
      <c r="AD93" s="198"/>
      <c r="AE93" s="198"/>
      <c r="AF93" s="198"/>
      <c r="AG93" s="198"/>
      <c r="AH93" s="198"/>
      <c r="AI93" s="198"/>
      <c r="AJ93" s="198"/>
      <c r="AK93" s="198"/>
      <c r="AL93" s="198"/>
      <c r="AM93" s="198"/>
      <c r="AN93" s="198"/>
      <c r="AO93" s="198"/>
      <c r="AP93" s="198"/>
      <c r="AQ93" s="198"/>
      <c r="AR93" s="198"/>
      <c r="AS93" s="198"/>
      <c r="AT93" s="198"/>
      <c r="AU93" s="198"/>
      <c r="AV93" s="198"/>
      <c r="AW93" s="198"/>
      <c r="AX93" s="198"/>
      <c r="AY93" s="198"/>
      <c r="AZ93" s="198"/>
      <c r="BA93" s="198"/>
      <c r="BB93" s="198"/>
      <c r="BC93" s="198"/>
      <c r="BD93" s="198"/>
      <c r="BE93" s="198"/>
      <c r="BF93" s="198"/>
      <c r="BG93" s="198"/>
      <c r="BH93" s="198"/>
      <c r="BI93" s="198"/>
      <c r="BJ93" s="198"/>
      <c r="BK93" s="198"/>
      <c r="BL93" s="198"/>
      <c r="BM93" s="198"/>
      <c r="BN93" s="198"/>
      <c r="BO93" s="198"/>
      <c r="BP93" s="198"/>
      <c r="BQ93" s="198"/>
      <c r="BR93" s="198"/>
      <c r="BS93" s="198"/>
      <c r="BT93" s="198"/>
      <c r="BU93" s="198"/>
      <c r="BV93" s="198"/>
      <c r="BW93" s="198"/>
      <c r="BX93" s="198"/>
      <c r="BY93" s="198"/>
      <c r="BZ93" s="198"/>
      <c r="CA93" s="198"/>
      <c r="CB93" s="198"/>
      <c r="CC93" s="199"/>
    </row>
    <row r="94" spans="1:104" hidden="1">
      <c r="A94" s="121" t="s">
        <v>504</v>
      </c>
      <c r="B94" s="67" t="s">
        <v>505</v>
      </c>
      <c r="C94" s="137">
        <v>55.345254552022702</v>
      </c>
      <c r="D94" s="137"/>
      <c r="E94" s="137">
        <v>55.081598378652501</v>
      </c>
      <c r="F94" s="137"/>
      <c r="G94" s="137"/>
      <c r="H94" s="137"/>
      <c r="I94" s="137">
        <v>55.345254552022702</v>
      </c>
      <c r="J94" s="137">
        <f t="shared" si="1"/>
        <v>0</v>
      </c>
      <c r="K94" s="137"/>
      <c r="L94" s="137"/>
      <c r="M94" s="137"/>
      <c r="N94" s="137"/>
      <c r="O94" s="137"/>
      <c r="P94" s="137"/>
      <c r="Q94" s="137"/>
      <c r="R94" s="137"/>
      <c r="S94" s="137"/>
      <c r="T94" s="137"/>
      <c r="U94" s="137"/>
      <c r="V94" s="137"/>
      <c r="W94" s="137"/>
      <c r="X94" s="137">
        <v>55.100304766846101</v>
      </c>
      <c r="Y94" s="137"/>
      <c r="Z94" s="137"/>
      <c r="AA94" s="137"/>
      <c r="AB94" s="137">
        <v>55.131116085476997</v>
      </c>
      <c r="AC94" s="137"/>
      <c r="AD94" s="137"/>
      <c r="AE94" s="137"/>
      <c r="AF94" s="137"/>
      <c r="AG94" s="137"/>
      <c r="AH94" s="137"/>
      <c r="AI94" s="137"/>
      <c r="AJ94" s="137"/>
      <c r="AK94" s="137"/>
      <c r="AL94" s="137">
        <v>55.185096011191902</v>
      </c>
      <c r="AM94" s="137"/>
      <c r="AN94" s="137">
        <v>55.135747078985197</v>
      </c>
      <c r="AO94" s="137">
        <v>54.861596066614403</v>
      </c>
      <c r="AP94" s="137">
        <v>55.135747078985197</v>
      </c>
      <c r="AQ94" s="137"/>
      <c r="AR94" s="137"/>
      <c r="AS94" s="137"/>
      <c r="AT94" s="137"/>
      <c r="AU94" s="137"/>
      <c r="AV94" s="137"/>
      <c r="AW94" s="137"/>
      <c r="AX94" s="137"/>
      <c r="AY94" s="137"/>
      <c r="AZ94" s="137"/>
      <c r="BA94" s="137"/>
      <c r="BB94" s="137"/>
      <c r="BC94" s="137"/>
      <c r="BD94" s="137"/>
      <c r="BE94" s="137"/>
      <c r="BF94" s="137"/>
      <c r="BG94" s="137"/>
      <c r="BH94" s="137"/>
      <c r="BI94" s="137"/>
      <c r="BJ94" s="137"/>
      <c r="BK94" s="137"/>
      <c r="BL94" s="137"/>
      <c r="BM94" s="137"/>
      <c r="BN94" s="137"/>
      <c r="BO94" s="137"/>
      <c r="BP94" s="137"/>
      <c r="BQ94" s="137"/>
      <c r="BR94" s="137">
        <v>54.760047688323901</v>
      </c>
      <c r="BS94" s="137"/>
      <c r="BT94" s="137">
        <v>55.402735918075599</v>
      </c>
      <c r="BU94" s="137"/>
      <c r="BV94" s="137"/>
      <c r="BW94" s="137"/>
      <c r="BX94" s="137"/>
      <c r="BY94" s="137">
        <v>55.402735918075599</v>
      </c>
      <c r="BZ94" s="137"/>
      <c r="CA94" s="137"/>
      <c r="CB94" s="137"/>
      <c r="CC94" s="127"/>
    </row>
    <row r="95" spans="1:104" hidden="1">
      <c r="A95" s="121" t="s">
        <v>506</v>
      </c>
      <c r="B95" s="67" t="s">
        <v>507</v>
      </c>
      <c r="C95" s="137">
        <v>997.06025742596296</v>
      </c>
      <c r="D95" s="137"/>
      <c r="E95" s="137">
        <v>992.31041763896997</v>
      </c>
      <c r="F95" s="137"/>
      <c r="G95" s="137"/>
      <c r="H95" s="137"/>
      <c r="I95" s="137">
        <v>997.06025742596296</v>
      </c>
      <c r="J95" s="137">
        <f t="shared" si="1"/>
        <v>0</v>
      </c>
      <c r="K95" s="137"/>
      <c r="L95" s="137"/>
      <c r="M95" s="137"/>
      <c r="N95" s="137"/>
      <c r="O95" s="137"/>
      <c r="P95" s="137"/>
      <c r="Q95" s="137"/>
      <c r="R95" s="137"/>
      <c r="S95" s="137"/>
      <c r="T95" s="137"/>
      <c r="U95" s="137"/>
      <c r="V95" s="137"/>
      <c r="W95" s="137"/>
      <c r="X95" s="137">
        <v>992.64741846006802</v>
      </c>
      <c r="Y95" s="137"/>
      <c r="Z95" s="137"/>
      <c r="AA95" s="137"/>
      <c r="AB95" s="137">
        <v>993.20249299237298</v>
      </c>
      <c r="AC95" s="137"/>
      <c r="AD95" s="137"/>
      <c r="AE95" s="137"/>
      <c r="AF95" s="137"/>
      <c r="AG95" s="137"/>
      <c r="AH95" s="137"/>
      <c r="AI95" s="137"/>
      <c r="AJ95" s="137"/>
      <c r="AK95" s="137"/>
      <c r="AL95" s="137">
        <v>994.17495646850602</v>
      </c>
      <c r="AM95" s="137"/>
      <c r="AN95" s="137">
        <v>993.28592163710096</v>
      </c>
      <c r="AO95" s="137">
        <v>988.34701438695697</v>
      </c>
      <c r="AP95" s="137">
        <v>993.28592163710096</v>
      </c>
      <c r="AQ95" s="137"/>
      <c r="AR95" s="137"/>
      <c r="AS95" s="137"/>
      <c r="AT95" s="137"/>
      <c r="AU95" s="137"/>
      <c r="AV95" s="137"/>
      <c r="AW95" s="137"/>
      <c r="AX95" s="137"/>
      <c r="AY95" s="137"/>
      <c r="AZ95" s="137"/>
      <c r="BA95" s="137"/>
      <c r="BB95" s="137"/>
      <c r="BC95" s="137"/>
      <c r="BD95" s="137"/>
      <c r="BE95" s="137"/>
      <c r="BF95" s="137"/>
      <c r="BG95" s="137"/>
      <c r="BH95" s="137"/>
      <c r="BI95" s="137"/>
      <c r="BJ95" s="137"/>
      <c r="BK95" s="137"/>
      <c r="BL95" s="137"/>
      <c r="BM95" s="137"/>
      <c r="BN95" s="137"/>
      <c r="BO95" s="137"/>
      <c r="BP95" s="137"/>
      <c r="BQ95" s="137"/>
      <c r="BR95" s="137">
        <v>986.51759191850704</v>
      </c>
      <c r="BS95" s="137"/>
      <c r="BT95" s="137">
        <v>998.09580033018904</v>
      </c>
      <c r="BU95" s="137"/>
      <c r="BV95" s="137"/>
      <c r="BW95" s="137"/>
      <c r="BX95" s="137"/>
      <c r="BY95" s="137">
        <v>998.09580033018904</v>
      </c>
      <c r="BZ95" s="137"/>
      <c r="CA95" s="137"/>
      <c r="CB95" s="137"/>
      <c r="CC95" s="127"/>
    </row>
    <row r="96" spans="1:104">
      <c r="A96" s="121" t="s">
        <v>508</v>
      </c>
      <c r="B96" s="67" t="s">
        <v>509</v>
      </c>
      <c r="C96" s="186">
        <v>246.62381624858301</v>
      </c>
      <c r="D96" s="186"/>
      <c r="E96" s="186">
        <v>243.17932763383601</v>
      </c>
      <c r="F96" s="186"/>
      <c r="G96" s="186"/>
      <c r="H96" s="186"/>
      <c r="I96" s="186">
        <v>13188.709714081902</v>
      </c>
      <c r="J96" s="186">
        <f t="shared" si="1"/>
        <v>0</v>
      </c>
      <c r="K96" s="186"/>
      <c r="L96" s="186"/>
      <c r="M96" s="186"/>
      <c r="N96" s="186"/>
      <c r="O96" s="186"/>
      <c r="P96" s="186"/>
      <c r="Q96" s="186"/>
      <c r="R96" s="186"/>
      <c r="S96" s="186"/>
      <c r="T96" s="186"/>
      <c r="U96" s="186"/>
      <c r="V96" s="186"/>
      <c r="W96" s="186"/>
      <c r="X96" s="186">
        <v>6812.5196882299997</v>
      </c>
      <c r="Y96" s="186"/>
      <c r="Z96" s="186"/>
      <c r="AA96" s="186"/>
      <c r="AB96" s="186">
        <v>247.695349591926</v>
      </c>
      <c r="AC96" s="186"/>
      <c r="AD96" s="186"/>
      <c r="AE96" s="186"/>
      <c r="AF96" s="186"/>
      <c r="AG96" s="186"/>
      <c r="AH96" s="186"/>
      <c r="AI96" s="186"/>
      <c r="AJ96" s="186"/>
      <c r="AK96" s="186"/>
      <c r="AL96" s="186">
        <v>3104.1187700442802</v>
      </c>
      <c r="AM96" s="186"/>
      <c r="AN96" s="186">
        <v>94.402044180776699</v>
      </c>
      <c r="AO96" s="186">
        <v>62.177288424552103</v>
      </c>
      <c r="AP96" s="186">
        <v>4.6457716997068204</v>
      </c>
      <c r="AQ96" s="186"/>
      <c r="AR96" s="186"/>
      <c r="AS96" s="186"/>
      <c r="AT96" s="186"/>
      <c r="AU96" s="186"/>
      <c r="AV96" s="186"/>
      <c r="AW96" s="186"/>
      <c r="AX96" s="186"/>
      <c r="AY96" s="186"/>
      <c r="AZ96" s="186"/>
      <c r="BA96" s="186"/>
      <c r="BB96" s="186"/>
      <c r="BC96" s="186"/>
      <c r="BD96" s="186"/>
      <c r="BE96" s="186"/>
      <c r="BF96" s="186"/>
      <c r="BG96" s="186"/>
      <c r="BH96" s="186"/>
      <c r="BI96" s="186"/>
      <c r="BJ96" s="186"/>
      <c r="BK96" s="186"/>
      <c r="BL96" s="186"/>
      <c r="BM96" s="186"/>
      <c r="BN96" s="186"/>
      <c r="BO96" s="186"/>
      <c r="BP96" s="186"/>
      <c r="BQ96" s="186"/>
      <c r="BR96" s="186">
        <v>246.13356099910899</v>
      </c>
      <c r="BS96" s="186"/>
      <c r="BT96" s="186">
        <v>276.36397324591201</v>
      </c>
      <c r="BU96" s="186"/>
      <c r="BV96" s="186"/>
      <c r="BW96" s="186"/>
      <c r="BX96" s="186"/>
      <c r="BY96" s="186">
        <v>332.56387655045597</v>
      </c>
      <c r="BZ96" s="186"/>
      <c r="CA96" s="186"/>
      <c r="CB96" s="186"/>
      <c r="CC96" s="187"/>
    </row>
    <row r="97" spans="1:81" hidden="1">
      <c r="A97" s="121" t="s">
        <v>511</v>
      </c>
      <c r="B97" s="67"/>
      <c r="C97" s="137"/>
      <c r="D97" s="137"/>
      <c r="E97" s="137"/>
      <c r="F97" s="137"/>
      <c r="G97" s="137"/>
      <c r="H97" s="137"/>
      <c r="I97" s="137">
        <v>0</v>
      </c>
      <c r="J97" s="137">
        <f t="shared" si="1"/>
        <v>0</v>
      </c>
      <c r="K97" s="137"/>
      <c r="L97" s="137"/>
      <c r="M97" s="137"/>
      <c r="N97" s="137"/>
      <c r="O97" s="137"/>
      <c r="P97" s="137"/>
      <c r="Q97" s="137"/>
      <c r="R97" s="137"/>
      <c r="S97" s="137"/>
      <c r="T97" s="137"/>
      <c r="U97" s="137"/>
      <c r="V97" s="137"/>
      <c r="W97" s="137"/>
      <c r="X97" s="137"/>
      <c r="Y97" s="137"/>
      <c r="Z97" s="137"/>
      <c r="AA97" s="137"/>
      <c r="AB97" s="137"/>
      <c r="AC97" s="137"/>
      <c r="AD97" s="137"/>
      <c r="AE97" s="137"/>
      <c r="AF97" s="137"/>
      <c r="AG97" s="137"/>
      <c r="AH97" s="137"/>
      <c r="AI97" s="137"/>
      <c r="AJ97" s="137"/>
      <c r="AK97" s="137"/>
      <c r="AL97" s="137"/>
      <c r="AM97" s="137"/>
      <c r="AN97" s="137"/>
      <c r="AO97" s="137"/>
      <c r="AP97" s="137"/>
      <c r="AQ97" s="137"/>
      <c r="AR97" s="137"/>
      <c r="AS97" s="137"/>
      <c r="AT97" s="137"/>
      <c r="AU97" s="137"/>
      <c r="AV97" s="137"/>
      <c r="AW97" s="137"/>
      <c r="AX97" s="137"/>
      <c r="AY97" s="137"/>
      <c r="AZ97" s="137"/>
      <c r="BA97" s="137"/>
      <c r="BB97" s="137"/>
      <c r="BC97" s="137"/>
      <c r="BD97" s="137"/>
      <c r="BE97" s="137"/>
      <c r="BF97" s="137"/>
      <c r="BG97" s="137"/>
      <c r="BH97" s="137"/>
      <c r="BI97" s="137"/>
      <c r="BJ97" s="137"/>
      <c r="BK97" s="137"/>
      <c r="BL97" s="137"/>
      <c r="BM97" s="137"/>
      <c r="BN97" s="137"/>
      <c r="BO97" s="137"/>
      <c r="BP97" s="137"/>
      <c r="BQ97" s="137"/>
      <c r="BR97" s="137"/>
      <c r="BS97" s="137"/>
      <c r="BT97" s="137"/>
      <c r="BU97" s="137"/>
      <c r="BV97" s="137"/>
      <c r="BW97" s="137"/>
      <c r="BX97" s="137"/>
      <c r="BY97" s="137"/>
      <c r="BZ97" s="137"/>
      <c r="CA97" s="137"/>
      <c r="CB97" s="137"/>
      <c r="CC97" s="127"/>
    </row>
    <row r="98" spans="1:81">
      <c r="A98" s="121" t="s">
        <v>512</v>
      </c>
      <c r="B98" s="67" t="s">
        <v>152</v>
      </c>
      <c r="C98" s="194">
        <v>4442.9971043867699</v>
      </c>
      <c r="D98" s="194"/>
      <c r="E98" s="194">
        <v>4380.9436775352897</v>
      </c>
      <c r="F98" s="194"/>
      <c r="G98" s="194"/>
      <c r="H98" s="194"/>
      <c r="I98" s="194">
        <v>237598.29833790701</v>
      </c>
      <c r="J98" s="194">
        <f t="shared" si="1"/>
        <v>0</v>
      </c>
      <c r="K98" s="194"/>
      <c r="L98" s="194"/>
      <c r="M98" s="194"/>
      <c r="N98" s="194"/>
      <c r="O98" s="194"/>
      <c r="P98" s="194"/>
      <c r="Q98" s="194"/>
      <c r="R98" s="194"/>
      <c r="S98" s="194"/>
      <c r="T98" s="194"/>
      <c r="U98" s="194"/>
      <c r="V98" s="194"/>
      <c r="W98" s="194"/>
      <c r="X98" s="194">
        <v>122729.449688976</v>
      </c>
      <c r="Y98" s="194"/>
      <c r="Z98" s="194"/>
      <c r="AA98" s="194"/>
      <c r="AB98" s="194">
        <v>4462.3010775964303</v>
      </c>
      <c r="AC98" s="194"/>
      <c r="AD98" s="194"/>
      <c r="AE98" s="194"/>
      <c r="AF98" s="194"/>
      <c r="AG98" s="194"/>
      <c r="AH98" s="194"/>
      <c r="AI98" s="194"/>
      <c r="AJ98" s="194"/>
      <c r="AK98" s="194"/>
      <c r="AL98" s="194">
        <v>55921.568795603198</v>
      </c>
      <c r="AM98" s="194"/>
      <c r="AN98" s="194">
        <v>1700.67925848906</v>
      </c>
      <c r="AO98" s="194">
        <v>1120.1412606090701</v>
      </c>
      <c r="AP98" s="194">
        <v>83.694877986294301</v>
      </c>
      <c r="AQ98" s="194"/>
      <c r="AR98" s="194"/>
      <c r="AS98" s="194"/>
      <c r="AT98" s="194"/>
      <c r="AU98" s="194"/>
      <c r="AV98" s="194"/>
      <c r="AW98" s="194"/>
      <c r="AX98" s="194"/>
      <c r="AY98" s="194"/>
      <c r="AZ98" s="194"/>
      <c r="BA98" s="194"/>
      <c r="BB98" s="194"/>
      <c r="BC98" s="194"/>
      <c r="BD98" s="194"/>
      <c r="BE98" s="194"/>
      <c r="BF98" s="194"/>
      <c r="BG98" s="194"/>
      <c r="BH98" s="194"/>
      <c r="BI98" s="194"/>
      <c r="BJ98" s="194"/>
      <c r="BK98" s="194"/>
      <c r="BL98" s="194"/>
      <c r="BM98" s="194"/>
      <c r="BN98" s="194"/>
      <c r="BO98" s="194"/>
      <c r="BP98" s="194"/>
      <c r="BQ98" s="194"/>
      <c r="BR98" s="194">
        <v>4434.1650187960304</v>
      </c>
      <c r="BS98" s="194"/>
      <c r="BT98" s="194">
        <v>4978.7743599376199</v>
      </c>
      <c r="BU98" s="194"/>
      <c r="BV98" s="194"/>
      <c r="BW98" s="194"/>
      <c r="BX98" s="194"/>
      <c r="BY98" s="194">
        <v>5991.2313539419001</v>
      </c>
      <c r="BZ98" s="194"/>
      <c r="CA98" s="194"/>
      <c r="CB98" s="194"/>
      <c r="CC98" s="195"/>
    </row>
    <row r="99" spans="1:81" hidden="1">
      <c r="A99" s="121" t="s">
        <v>513</v>
      </c>
      <c r="B99" s="67"/>
      <c r="C99" s="137"/>
      <c r="D99" s="137"/>
      <c r="E99" s="137"/>
      <c r="F99" s="137"/>
      <c r="G99" s="137"/>
      <c r="H99" s="137"/>
      <c r="I99" s="137">
        <v>0</v>
      </c>
      <c r="J99" s="137">
        <f t="shared" si="1"/>
        <v>0</v>
      </c>
      <c r="K99" s="137"/>
      <c r="L99" s="137"/>
      <c r="M99" s="137"/>
      <c r="N99" s="137"/>
      <c r="O99" s="137"/>
      <c r="P99" s="137"/>
      <c r="Q99" s="137"/>
      <c r="R99" s="137"/>
      <c r="S99" s="137"/>
      <c r="T99" s="137"/>
      <c r="U99" s="137"/>
      <c r="V99" s="137"/>
      <c r="W99" s="137"/>
      <c r="X99" s="137"/>
      <c r="Y99" s="137"/>
      <c r="Z99" s="137"/>
      <c r="AA99" s="137"/>
      <c r="AB99" s="137"/>
      <c r="AC99" s="137"/>
      <c r="AD99" s="137"/>
      <c r="AE99" s="137"/>
      <c r="AF99" s="137"/>
      <c r="AG99" s="137"/>
      <c r="AH99" s="137"/>
      <c r="AI99" s="137"/>
      <c r="AJ99" s="137"/>
      <c r="AK99" s="137"/>
      <c r="AL99" s="137"/>
      <c r="AM99" s="137"/>
      <c r="AN99" s="137"/>
      <c r="AO99" s="137"/>
      <c r="AP99" s="137"/>
      <c r="AQ99" s="137"/>
      <c r="AR99" s="137"/>
      <c r="AS99" s="137"/>
      <c r="AT99" s="137"/>
      <c r="AU99" s="137"/>
      <c r="AV99" s="137"/>
      <c r="AW99" s="137"/>
      <c r="AX99" s="137"/>
      <c r="AY99" s="137"/>
      <c r="AZ99" s="137"/>
      <c r="BA99" s="137"/>
      <c r="BB99" s="137"/>
      <c r="BC99" s="137"/>
      <c r="BD99" s="137"/>
      <c r="BE99" s="137"/>
      <c r="BF99" s="137"/>
      <c r="BG99" s="137"/>
      <c r="BH99" s="137"/>
      <c r="BI99" s="137"/>
      <c r="BJ99" s="137"/>
      <c r="BK99" s="137"/>
      <c r="BL99" s="137"/>
      <c r="BM99" s="137"/>
      <c r="BN99" s="137"/>
      <c r="BO99" s="137"/>
      <c r="BP99" s="137"/>
      <c r="BQ99" s="137"/>
      <c r="BR99" s="137"/>
      <c r="BS99" s="137"/>
      <c r="BT99" s="137"/>
      <c r="BU99" s="137"/>
      <c r="BV99" s="137"/>
      <c r="BW99" s="137"/>
      <c r="BX99" s="137"/>
      <c r="BY99" s="137"/>
      <c r="BZ99" s="137"/>
      <c r="CA99" s="137"/>
      <c r="CB99" s="137"/>
      <c r="CC99" s="127"/>
    </row>
    <row r="100" spans="1:81" ht="15.75" thickBot="1">
      <c r="A100" s="128" t="s">
        <v>514</v>
      </c>
      <c r="B100" s="200" t="s">
        <v>515</v>
      </c>
      <c r="C100" s="201">
        <v>4.4560968821051397</v>
      </c>
      <c r="D100" s="201"/>
      <c r="E100" s="201">
        <v>4.4148923559212401</v>
      </c>
      <c r="F100" s="201"/>
      <c r="G100" s="201"/>
      <c r="H100" s="201"/>
      <c r="I100" s="201">
        <v>215.42777433895094</v>
      </c>
      <c r="J100" s="201">
        <f t="shared" si="1"/>
        <v>0</v>
      </c>
      <c r="K100" s="201"/>
      <c r="L100" s="201"/>
      <c r="M100" s="201"/>
      <c r="N100" s="201"/>
      <c r="O100" s="201"/>
      <c r="P100" s="201"/>
      <c r="Q100" s="201"/>
      <c r="R100" s="201"/>
      <c r="S100" s="201"/>
      <c r="T100" s="201"/>
      <c r="U100" s="201"/>
      <c r="V100" s="201"/>
      <c r="W100" s="201"/>
      <c r="X100" s="201">
        <v>123.638511929413</v>
      </c>
      <c r="Y100" s="201"/>
      <c r="Z100" s="201"/>
      <c r="AA100" s="201"/>
      <c r="AB100" s="201">
        <v>4.4928411971179596</v>
      </c>
      <c r="AC100" s="201"/>
      <c r="AD100" s="201"/>
      <c r="AE100" s="201"/>
      <c r="AF100" s="201"/>
      <c r="AG100" s="201"/>
      <c r="AH100" s="201"/>
      <c r="AI100" s="201"/>
      <c r="AJ100" s="201"/>
      <c r="AK100" s="201"/>
      <c r="AL100" s="201">
        <v>56.249222968004702</v>
      </c>
      <c r="AM100" s="201"/>
      <c r="AN100" s="201">
        <v>1.7121749351748099</v>
      </c>
      <c r="AO100" s="201">
        <v>1.1333481502990701</v>
      </c>
      <c r="AP100" s="201">
        <v>8.4260610326935007E-2</v>
      </c>
      <c r="AQ100" s="201"/>
      <c r="AR100" s="201"/>
      <c r="AS100" s="201"/>
      <c r="AT100" s="201"/>
      <c r="AU100" s="201"/>
      <c r="AV100" s="201"/>
      <c r="AW100" s="201"/>
      <c r="AX100" s="201"/>
      <c r="AY100" s="201"/>
      <c r="AZ100" s="201"/>
      <c r="BA100" s="201"/>
      <c r="BB100" s="201"/>
      <c r="BC100" s="201"/>
      <c r="BD100" s="201"/>
      <c r="BE100" s="201"/>
      <c r="BF100" s="201"/>
      <c r="BG100" s="201"/>
      <c r="BH100" s="201"/>
      <c r="BI100" s="201"/>
      <c r="BJ100" s="201"/>
      <c r="BK100" s="201"/>
      <c r="BL100" s="201"/>
      <c r="BM100" s="201"/>
      <c r="BN100" s="201"/>
      <c r="BO100" s="201"/>
      <c r="BP100" s="201"/>
      <c r="BQ100" s="201"/>
      <c r="BR100" s="201">
        <v>4.4947652785114602</v>
      </c>
      <c r="BS100" s="201"/>
      <c r="BT100" s="201">
        <v>4.9882730277900604</v>
      </c>
      <c r="BU100" s="201"/>
      <c r="BV100" s="201"/>
      <c r="BW100" s="201"/>
      <c r="BX100" s="201"/>
      <c r="BY100" s="201">
        <v>6.0026616202170899</v>
      </c>
      <c r="BZ100" s="201"/>
      <c r="CA100" s="201"/>
      <c r="CB100" s="201"/>
      <c r="CC100" s="202"/>
    </row>
    <row r="130" spans="61:63">
      <c r="BI130" s="181"/>
      <c r="BJ130" s="181"/>
      <c r="BK130" s="181"/>
    </row>
    <row r="139" spans="61:63">
      <c r="BI139" s="181"/>
      <c r="BJ139" s="181"/>
      <c r="BK139" s="181"/>
    </row>
    <row r="158" spans="61:63">
      <c r="BI158" s="181"/>
      <c r="BJ158" s="181"/>
      <c r="BK158" s="181"/>
    </row>
    <row r="167" spans="61:63">
      <c r="BI167" s="181"/>
      <c r="BJ167" s="181"/>
      <c r="BK167" s="181"/>
    </row>
  </sheetData>
  <pageMargins left="0.51181102362204722" right="0.51181102362204722" top="0.35433070866141736" bottom="0.35433070866141736" header="0.31496062992125984" footer="0.31496062992125984"/>
  <pageSetup paperSize="9" scale="50" fitToWidth="0" orientation="landscape"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79410F-D297-410A-A97E-68655F6A0886}">
  <sheetPr>
    <tabColor theme="9"/>
  </sheetPr>
  <dimension ref="A4:R29"/>
  <sheetViews>
    <sheetView tabSelected="1" workbookViewId="0">
      <selection activeCell="G14" sqref="G14"/>
    </sheetView>
  </sheetViews>
  <sheetFormatPr defaultRowHeight="15"/>
  <cols>
    <col min="2" max="2" width="13.7109375" customWidth="1"/>
    <col min="3" max="3" width="28.42578125" customWidth="1"/>
    <col min="10" max="10" width="12.28515625" customWidth="1"/>
  </cols>
  <sheetData>
    <row r="4" spans="1:18">
      <c r="G4" s="144" t="s">
        <v>255</v>
      </c>
    </row>
    <row r="5" spans="1:18" ht="21">
      <c r="A5" s="20" t="s">
        <v>33</v>
      </c>
      <c r="B5" s="21"/>
      <c r="F5" s="144" t="s">
        <v>256</v>
      </c>
    </row>
    <row r="6" spans="1:18">
      <c r="E6" s="144" t="s">
        <v>257</v>
      </c>
    </row>
    <row r="7" spans="1:18">
      <c r="D7" s="144" t="s">
        <v>258</v>
      </c>
      <c r="E7" s="144"/>
    </row>
    <row r="8" spans="1:18">
      <c r="D8" s="144"/>
      <c r="E8" s="144"/>
    </row>
    <row r="9" spans="1:18">
      <c r="B9" s="30" t="s">
        <v>34</v>
      </c>
      <c r="C9" s="21"/>
      <c r="H9" s="21"/>
    </row>
    <row r="10" spans="1:18">
      <c r="B10" s="30" t="s">
        <v>35</v>
      </c>
      <c r="C10" s="30" t="s">
        <v>36</v>
      </c>
      <c r="D10" s="30" t="s">
        <v>37</v>
      </c>
      <c r="E10" s="30" t="s">
        <v>38</v>
      </c>
      <c r="F10" s="30" t="s">
        <v>39</v>
      </c>
      <c r="G10" s="30" t="s">
        <v>40</v>
      </c>
      <c r="H10" s="30" t="s">
        <v>41</v>
      </c>
      <c r="M10" s="145"/>
      <c r="N10" s="145"/>
      <c r="O10" s="145"/>
      <c r="P10" s="145"/>
      <c r="Q10" s="145"/>
      <c r="R10" s="145"/>
    </row>
    <row r="11" spans="1:18">
      <c r="B11" t="str">
        <f>RES!J8</f>
        <v>HGNXGQ</v>
      </c>
      <c r="C11" t="str">
        <f>RES!J6</f>
        <v>HGN to GQ process</v>
      </c>
      <c r="D11" t="s">
        <v>42</v>
      </c>
      <c r="E11" t="s">
        <v>43</v>
      </c>
      <c r="F11" t="s">
        <v>44</v>
      </c>
      <c r="G11" s="221" t="s">
        <v>526</v>
      </c>
    </row>
    <row r="12" spans="1:18">
      <c r="B12" t="str">
        <f>RES!S20</f>
        <v>GQLFG</v>
      </c>
      <c r="C12" t="str">
        <f>RES!S18</f>
        <v>GreenQuest LFG process</v>
      </c>
      <c r="D12" t="s">
        <v>42</v>
      </c>
      <c r="E12" t="s">
        <v>43</v>
      </c>
      <c r="F12" t="s">
        <v>45</v>
      </c>
      <c r="G12" s="222" t="s">
        <v>526</v>
      </c>
    </row>
    <row r="13" spans="1:18">
      <c r="B13" t="str">
        <f>RES!S29</f>
        <v>H2STORGQ</v>
      </c>
      <c r="C13" t="str">
        <f>RES!S27</f>
        <v>Hyrogen Storage for GQ process</v>
      </c>
      <c r="D13" t="s">
        <v>42</v>
      </c>
      <c r="E13" t="s">
        <v>43</v>
      </c>
      <c r="F13" t="s">
        <v>45</v>
      </c>
      <c r="G13" s="224" t="s">
        <v>527</v>
      </c>
    </row>
    <row r="14" spans="1:18">
      <c r="B14" t="str">
        <f>RES!AA20</f>
        <v>LFGXLPP</v>
      </c>
      <c r="C14" t="str">
        <f>RES!AA18</f>
        <v>LFG to the local market of LPG</v>
      </c>
      <c r="D14" t="s">
        <v>42</v>
      </c>
      <c r="E14" t="s">
        <v>43</v>
      </c>
      <c r="F14" t="s">
        <v>44</v>
      </c>
      <c r="G14" s="223" t="s">
        <v>526</v>
      </c>
    </row>
    <row r="18" spans="1:16">
      <c r="G18" t="s">
        <v>27</v>
      </c>
    </row>
    <row r="19" spans="1:16" ht="21">
      <c r="A19" s="20" t="s">
        <v>46</v>
      </c>
      <c r="F19" t="s">
        <v>28</v>
      </c>
    </row>
    <row r="20" spans="1:16">
      <c r="E20" t="s">
        <v>29</v>
      </c>
    </row>
    <row r="21" spans="1:16">
      <c r="D21" t="s">
        <v>30</v>
      </c>
    </row>
    <row r="22" spans="1:16">
      <c r="B22" s="30" t="s">
        <v>31</v>
      </c>
      <c r="C22" s="21"/>
      <c r="E22" s="29"/>
      <c r="F22" s="29"/>
      <c r="G22" s="29"/>
    </row>
    <row r="23" spans="1:16">
      <c r="B23" s="30" t="s">
        <v>0</v>
      </c>
      <c r="C23" s="30" t="s">
        <v>32</v>
      </c>
      <c r="D23" s="30" t="s">
        <v>1</v>
      </c>
      <c r="E23" s="30" t="s">
        <v>2</v>
      </c>
      <c r="F23" s="30" t="s">
        <v>3</v>
      </c>
      <c r="G23" s="30" t="s">
        <v>4</v>
      </c>
      <c r="H23" s="30" t="s">
        <v>47</v>
      </c>
    </row>
    <row r="24" spans="1:16">
      <c r="B24" t="str">
        <f>RES!M4</f>
        <v>HGNGQ</v>
      </c>
      <c r="C24" t="str">
        <f>RES!M3</f>
        <v>Hydrogen for GreenQuest process</v>
      </c>
      <c r="D24" t="s">
        <v>42</v>
      </c>
      <c r="E24" t="s">
        <v>48</v>
      </c>
      <c r="F24" t="s">
        <v>45</v>
      </c>
      <c r="H24" t="s">
        <v>49</v>
      </c>
    </row>
    <row r="25" spans="1:16">
      <c r="B25" t="str">
        <f>RES!X4</f>
        <v>LFG</v>
      </c>
      <c r="C25" t="str">
        <f>RES!X3</f>
        <v>Liquified Fuel Gas</v>
      </c>
      <c r="D25" t="s">
        <v>42</v>
      </c>
      <c r="E25" t="s">
        <v>48</v>
      </c>
      <c r="F25" t="s">
        <v>45</v>
      </c>
      <c r="H25" t="s">
        <v>49</v>
      </c>
      <c r="N25" s="29"/>
      <c r="O25" s="29"/>
      <c r="P25" s="29"/>
    </row>
    <row r="26" spans="1:16">
      <c r="B26" t="str">
        <f>RES!D4</f>
        <v>INDELC</v>
      </c>
      <c r="C26" t="str">
        <f>RES!D3</f>
        <v>Industry electricity</v>
      </c>
      <c r="D26" t="s">
        <v>42</v>
      </c>
      <c r="E26" t="s">
        <v>48</v>
      </c>
      <c r="F26" t="s">
        <v>45</v>
      </c>
      <c r="H26" t="s">
        <v>49</v>
      </c>
    </row>
    <row r="27" spans="1:16">
      <c r="B27" t="str">
        <f>RES!U4</f>
        <v>H2O</v>
      </c>
      <c r="C27" t="str">
        <f>RES!U3</f>
        <v>Water from separation and RWGS</v>
      </c>
      <c r="D27" t="s">
        <v>42</v>
      </c>
      <c r="E27" t="s">
        <v>48</v>
      </c>
      <c r="F27" t="s">
        <v>45</v>
      </c>
      <c r="H27" t="s">
        <v>49</v>
      </c>
      <c r="M27" s="29"/>
    </row>
    <row r="29" spans="1:16">
      <c r="O29" s="29"/>
      <c r="P29" s="29"/>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DA1C44-60AD-4274-AAB5-C26C83ACF1EB}">
  <sheetPr>
    <tabColor theme="9"/>
  </sheetPr>
  <dimension ref="A14:L98"/>
  <sheetViews>
    <sheetView topLeftCell="A34" zoomScaleNormal="100" workbookViewId="0">
      <selection activeCell="B48" sqref="B48:E48"/>
    </sheetView>
  </sheetViews>
  <sheetFormatPr defaultRowHeight="15"/>
  <cols>
    <col min="2" max="2" width="15.85546875" customWidth="1"/>
    <col min="3" max="3" width="18.7109375" customWidth="1"/>
    <col min="4" max="4" width="15.28515625" customWidth="1"/>
    <col min="5" max="5" width="18" bestFit="1" customWidth="1"/>
    <col min="6" max="6" width="16.28515625" customWidth="1"/>
    <col min="7" max="7" width="18" bestFit="1" customWidth="1"/>
    <col min="8" max="8" width="25.7109375" customWidth="1"/>
    <col min="9" max="9" width="15.85546875" customWidth="1"/>
    <col min="10" max="10" width="13.42578125" bestFit="1" customWidth="1"/>
    <col min="11" max="11" width="12" bestFit="1" customWidth="1"/>
    <col min="12" max="12" width="11" bestFit="1" customWidth="1"/>
    <col min="13" max="13" width="9.5703125" bestFit="1" customWidth="1"/>
    <col min="14" max="14" width="26.7109375" customWidth="1"/>
    <col min="15" max="15" width="36.28515625" customWidth="1"/>
    <col min="19" max="19" width="21.42578125" customWidth="1"/>
    <col min="22" max="22" width="10.140625" customWidth="1"/>
    <col min="23" max="23" width="31.42578125" customWidth="1"/>
    <col min="24" max="24" width="11" customWidth="1"/>
  </cols>
  <sheetData>
    <row r="14" spans="1:3" ht="24">
      <c r="A14" s="31" t="s">
        <v>50</v>
      </c>
    </row>
    <row r="15" spans="1:3">
      <c r="B15" s="21" t="s">
        <v>51</v>
      </c>
    </row>
    <row r="16" spans="1:3">
      <c r="B16" t="s">
        <v>52</v>
      </c>
      <c r="C16" s="21" t="str">
        <f>[1]RES!S20</f>
        <v>GQLFG</v>
      </c>
    </row>
    <row r="18" spans="1:12" ht="21">
      <c r="A18" s="20" t="s">
        <v>53</v>
      </c>
      <c r="H18" s="32"/>
    </row>
    <row r="19" spans="1:12" ht="19.5" customHeight="1">
      <c r="A19" s="20"/>
      <c r="J19" s="33"/>
    </row>
    <row r="20" spans="1:12" ht="15.75" thickBot="1">
      <c r="B20" s="34" t="s">
        <v>54</v>
      </c>
      <c r="C20" s="35"/>
      <c r="D20" s="35"/>
      <c r="E20" s="35"/>
      <c r="H20" s="32"/>
      <c r="J20" s="33"/>
    </row>
    <row r="21" spans="1:12">
      <c r="B21" t="s">
        <v>55</v>
      </c>
      <c r="D21">
        <v>8000</v>
      </c>
      <c r="E21" t="s">
        <v>56</v>
      </c>
      <c r="H21" s="32"/>
      <c r="J21" s="33"/>
    </row>
    <row r="22" spans="1:12">
      <c r="B22" t="s">
        <v>57</v>
      </c>
      <c r="D22">
        <v>30</v>
      </c>
      <c r="E22" t="s">
        <v>58</v>
      </c>
    </row>
    <row r="24" spans="1:12" ht="15.75" thickBot="1">
      <c r="B24" s="34" t="s">
        <v>59</v>
      </c>
      <c r="C24" s="35"/>
      <c r="D24" s="35"/>
      <c r="E24" s="35"/>
    </row>
    <row r="25" spans="1:12">
      <c r="B25" s="21"/>
    </row>
    <row r="26" spans="1:12">
      <c r="B26" t="s">
        <v>60</v>
      </c>
      <c r="D26" s="36">
        <v>176.37</v>
      </c>
      <c r="E26" t="s">
        <v>61</v>
      </c>
      <c r="G26" t="s">
        <v>453</v>
      </c>
    </row>
    <row r="27" spans="1:12">
      <c r="B27" s="21"/>
      <c r="D27" s="36">
        <f>D26*1000000*3600*D21/1000000000000000</f>
        <v>5.0794560000000004</v>
      </c>
      <c r="E27" t="s">
        <v>62</v>
      </c>
    </row>
    <row r="29" spans="1:12" ht="15.75" thickBot="1">
      <c r="B29" s="34" t="s">
        <v>63</v>
      </c>
      <c r="C29" s="35"/>
      <c r="D29" s="35"/>
      <c r="E29" s="35"/>
    </row>
    <row r="31" spans="1:12">
      <c r="C31" s="21" t="s">
        <v>64</v>
      </c>
      <c r="D31" s="37" t="s">
        <v>65</v>
      </c>
      <c r="E31" s="37" t="s">
        <v>66</v>
      </c>
      <c r="G31" s="21"/>
      <c r="K31" s="21"/>
      <c r="L31" s="21"/>
    </row>
    <row r="32" spans="1:12">
      <c r="B32" s="38" t="s">
        <v>67</v>
      </c>
      <c r="C32" t="s">
        <v>68</v>
      </c>
      <c r="D32" s="39">
        <f>E32*$D$21/1000000</f>
        <v>3719.9464194420079</v>
      </c>
      <c r="E32" s="39">
        <f>'[1]Summary mass flow of process'!C7</f>
        <v>464993.30243025097</v>
      </c>
      <c r="G32" s="39"/>
    </row>
    <row r="33" spans="1:12">
      <c r="B33" s="38" t="s">
        <v>67</v>
      </c>
      <c r="C33" t="s">
        <v>69</v>
      </c>
      <c r="D33" s="39">
        <f>E33*$D$21/1000000</f>
        <v>511.17599999999999</v>
      </c>
      <c r="E33" s="39">
        <f>'[1]Summary mass flow of process'!C8</f>
        <v>63897</v>
      </c>
      <c r="G33" s="39"/>
      <c r="K33" s="40"/>
    </row>
    <row r="34" spans="1:12">
      <c r="B34" s="38" t="s">
        <v>70</v>
      </c>
      <c r="C34" t="s">
        <v>17</v>
      </c>
      <c r="D34" s="39">
        <f>E34*$D$21/1000000</f>
        <v>834.24589117659264</v>
      </c>
      <c r="E34" s="39">
        <f>'[1]Summary mass flow of process'!C21</f>
        <v>104280.73639707407</v>
      </c>
      <c r="G34" s="39"/>
      <c r="K34" s="40"/>
      <c r="L34" s="41"/>
    </row>
    <row r="35" spans="1:12">
      <c r="B35" s="38" t="s">
        <v>70</v>
      </c>
      <c r="C35" t="str">
        <f>RES!U4</f>
        <v>H2O</v>
      </c>
      <c r="D35" s="39">
        <f>E35*$D$21/1000000</f>
        <v>2668.2629552630101</v>
      </c>
      <c r="E35" s="48">
        <f>'Flow rate'!CC44+'Flow rate'!BP44</f>
        <v>333532.86940787628</v>
      </c>
    </row>
    <row r="37" spans="1:12">
      <c r="B37" s="42" t="s">
        <v>71</v>
      </c>
      <c r="D37" s="37" t="s">
        <v>62</v>
      </c>
      <c r="G37" s="43" t="s">
        <v>72</v>
      </c>
    </row>
    <row r="38" spans="1:12">
      <c r="B38" s="38" t="s">
        <v>67</v>
      </c>
      <c r="C38" t="s">
        <v>69</v>
      </c>
      <c r="D38" s="44">
        <f>D33*G38/1000</f>
        <v>61.341119999999997</v>
      </c>
      <c r="E38" s="45"/>
      <c r="G38">
        <v>120</v>
      </c>
    </row>
    <row r="39" spans="1:12">
      <c r="B39" s="38" t="s">
        <v>70</v>
      </c>
      <c r="C39" t="s">
        <v>17</v>
      </c>
      <c r="D39" s="44">
        <f>D34*G39/1000</f>
        <v>36.205330054118427</v>
      </c>
      <c r="G39" s="32">
        <f>'[1]Summary mass flow of process'!G21</f>
        <v>43.398871288482624</v>
      </c>
    </row>
    <row r="40" spans="1:12">
      <c r="B40" s="38" t="s">
        <v>70</v>
      </c>
      <c r="C40" t="str">
        <f>[2]RES!AG3</f>
        <v>Water from separation and RWGS</v>
      </c>
      <c r="D40" s="44">
        <f>D35*G40/1000</f>
        <v>6.5372442403943749</v>
      </c>
      <c r="G40" s="32">
        <v>2.4500000000000002</v>
      </c>
    </row>
    <row r="41" spans="1:12">
      <c r="D41" s="41"/>
    </row>
    <row r="42" spans="1:12" ht="21">
      <c r="A42" s="20" t="s">
        <v>73</v>
      </c>
      <c r="D42" s="46"/>
    </row>
    <row r="43" spans="1:12">
      <c r="J43" s="36"/>
    </row>
    <row r="44" spans="1:12">
      <c r="C44" s="21" t="s">
        <v>74</v>
      </c>
      <c r="D44" s="21">
        <v>2020</v>
      </c>
      <c r="E44" s="21"/>
      <c r="G44" s="43" t="s">
        <v>75</v>
      </c>
    </row>
    <row r="45" spans="1:12">
      <c r="B45" t="s">
        <v>76</v>
      </c>
      <c r="C45" s="43" t="s">
        <v>77</v>
      </c>
      <c r="D45" s="47">
        <v>35.44</v>
      </c>
      <c r="E45" t="s">
        <v>78</v>
      </c>
      <c r="G45">
        <v>19</v>
      </c>
      <c r="I45" s="39"/>
    </row>
    <row r="46" spans="1:12">
      <c r="C46" s="43" t="s">
        <v>79</v>
      </c>
      <c r="D46" s="44">
        <f>1000*D45/D39</f>
        <v>978.861398225774</v>
      </c>
      <c r="F46" s="39"/>
      <c r="G46" s="48"/>
      <c r="I46" s="39"/>
    </row>
    <row r="47" spans="1:12">
      <c r="B47" t="s">
        <v>80</v>
      </c>
      <c r="C47" s="43" t="s">
        <v>79</v>
      </c>
      <c r="D47" s="44">
        <f>3%*D46</f>
        <v>29.365841946773219</v>
      </c>
      <c r="E47" t="s">
        <v>81</v>
      </c>
      <c r="F47" s="49"/>
      <c r="G47" s="39"/>
      <c r="I47" s="39"/>
    </row>
    <row r="48" spans="1:12">
      <c r="B48" t="s">
        <v>82</v>
      </c>
      <c r="C48" s="43" t="s">
        <v>83</v>
      </c>
      <c r="D48" s="50">
        <f>G54*G45</f>
        <v>29.07</v>
      </c>
      <c r="E48" t="s">
        <v>84</v>
      </c>
      <c r="F48" s="39"/>
      <c r="G48" s="39"/>
    </row>
    <row r="52" spans="1:8" ht="15.75" thickBot="1">
      <c r="B52" s="51" t="s">
        <v>85</v>
      </c>
    </row>
    <row r="53" spans="1:8" ht="33">
      <c r="B53" s="52"/>
      <c r="C53" s="53" t="s">
        <v>86</v>
      </c>
      <c r="D53" s="53" t="s">
        <v>87</v>
      </c>
      <c r="E53" s="53" t="s">
        <v>88</v>
      </c>
      <c r="F53" s="54" t="s">
        <v>89</v>
      </c>
      <c r="G53" s="54" t="s">
        <v>90</v>
      </c>
      <c r="H53" s="55"/>
    </row>
    <row r="54" spans="1:8">
      <c r="B54" s="56" t="s">
        <v>91</v>
      </c>
      <c r="C54">
        <v>1.4</v>
      </c>
      <c r="D54">
        <v>8.7999999999999995E-2</v>
      </c>
      <c r="E54">
        <v>4.41E-2</v>
      </c>
      <c r="F54">
        <v>1098</v>
      </c>
      <c r="G54">
        <v>1.53</v>
      </c>
      <c r="H54" s="57"/>
    </row>
    <row r="55" spans="1:8">
      <c r="B55" s="56" t="s">
        <v>92</v>
      </c>
      <c r="C55">
        <v>1.69</v>
      </c>
      <c r="D55" s="58">
        <f>E32/(E34*G39)</f>
        <v>0.10274582261455885</v>
      </c>
      <c r="E55" s="58"/>
      <c r="F55" s="48">
        <f>(D45/G45)*1000000000/(1000*'[1]Summary mass flow of process'!C25)</f>
        <v>1483.7478036264363</v>
      </c>
      <c r="G55" s="36"/>
      <c r="H55" s="57"/>
    </row>
    <row r="56" spans="1:8" ht="15.75" thickBot="1">
      <c r="B56" s="59"/>
      <c r="C56" s="35"/>
      <c r="D56" s="35"/>
      <c r="E56" s="35"/>
      <c r="F56" s="35"/>
      <c r="G56" s="35"/>
      <c r="H56" s="60"/>
    </row>
    <row r="62" spans="1:8" ht="21">
      <c r="A62" s="20" t="s">
        <v>93</v>
      </c>
    </row>
    <row r="63" spans="1:8">
      <c r="C63" s="21" t="s">
        <v>94</v>
      </c>
    </row>
    <row r="64" spans="1:8">
      <c r="B64" s="21" t="s">
        <v>91</v>
      </c>
      <c r="C64" t="s">
        <v>95</v>
      </c>
    </row>
    <row r="68" spans="2:11">
      <c r="I68" t="s">
        <v>266</v>
      </c>
      <c r="J68" s="29" t="s">
        <v>263</v>
      </c>
      <c r="K68" t="s">
        <v>264</v>
      </c>
    </row>
    <row r="69" spans="2:11">
      <c r="B69" s="30" t="s">
        <v>131</v>
      </c>
      <c r="J69" s="29" t="s">
        <v>262</v>
      </c>
      <c r="K69" s="29"/>
    </row>
    <row r="70" spans="2:11">
      <c r="B70" t="s">
        <v>35</v>
      </c>
      <c r="C70" t="s">
        <v>36</v>
      </c>
      <c r="D70" t="s">
        <v>137</v>
      </c>
      <c r="E70" t="s">
        <v>138</v>
      </c>
      <c r="F70" s="79" t="s">
        <v>268</v>
      </c>
      <c r="G70" t="s">
        <v>259</v>
      </c>
      <c r="H70" t="s">
        <v>143</v>
      </c>
      <c r="I70" t="s">
        <v>265</v>
      </c>
      <c r="J70" t="s">
        <v>260</v>
      </c>
      <c r="K70" t="s">
        <v>261</v>
      </c>
    </row>
    <row r="71" spans="2:11">
      <c r="B71" t="str">
        <f>RES!S20</f>
        <v>GQLFG</v>
      </c>
      <c r="C71" t="str">
        <f>RES!S18</f>
        <v>GreenQuest LFG process</v>
      </c>
      <c r="D71" t="str">
        <f>RES!B4</f>
        <v>CO2CAPT</v>
      </c>
      <c r="H71">
        <f>D32/D39</f>
        <v>102.74582261455885</v>
      </c>
      <c r="I71">
        <v>20</v>
      </c>
      <c r="J71">
        <v>1</v>
      </c>
      <c r="K71">
        <v>0.9</v>
      </c>
    </row>
    <row r="72" spans="2:11">
      <c r="D72" t="str">
        <f>RES!M4</f>
        <v>HGNGQ</v>
      </c>
      <c r="H72">
        <f>D38/D39</f>
        <v>1.6942566165895876</v>
      </c>
    </row>
    <row r="73" spans="2:11">
      <c r="D73" t="str">
        <f>RES!D4</f>
        <v>INDELC</v>
      </c>
      <c r="H73" s="36">
        <f>D27/D39</f>
        <v>0.14029580706507611</v>
      </c>
    </row>
    <row r="74" spans="2:11">
      <c r="E74" t="s">
        <v>17</v>
      </c>
    </row>
    <row r="75" spans="2:11">
      <c r="F75" t="str">
        <f>RES!U4</f>
        <v>H2O</v>
      </c>
      <c r="H75">
        <f>D40/D39</f>
        <v>0.18056027194401314</v>
      </c>
    </row>
    <row r="78" spans="2:11">
      <c r="B78" s="30" t="s">
        <v>131</v>
      </c>
    </row>
    <row r="79" spans="2:11">
      <c r="B79" t="s">
        <v>35</v>
      </c>
      <c r="C79" t="s">
        <v>269</v>
      </c>
      <c r="D79">
        <v>2030</v>
      </c>
    </row>
    <row r="80" spans="2:11">
      <c r="B80" t="str">
        <f>RES!S20</f>
        <v>GQLFG</v>
      </c>
      <c r="C80" t="s">
        <v>525</v>
      </c>
      <c r="D80">
        <v>1</v>
      </c>
    </row>
    <row r="81" spans="1:6">
      <c r="C81" t="s">
        <v>270</v>
      </c>
      <c r="D81">
        <v>0.8</v>
      </c>
    </row>
    <row r="84" spans="1:6">
      <c r="B84" s="77" t="s">
        <v>131</v>
      </c>
    </row>
    <row r="85" spans="1:6">
      <c r="B85" s="78" t="s">
        <v>133</v>
      </c>
      <c r="C85" s="78" t="s">
        <v>35</v>
      </c>
      <c r="D85" s="78">
        <v>2020</v>
      </c>
    </row>
    <row r="86" spans="1:6">
      <c r="B86" t="s">
        <v>134</v>
      </c>
      <c r="C86" t="str">
        <f>RES!S20</f>
        <v>GQLFG</v>
      </c>
      <c r="D86" s="80">
        <f>D46</f>
        <v>978.861398225774</v>
      </c>
      <c r="E86" s="160"/>
      <c r="F86" s="160"/>
    </row>
    <row r="87" spans="1:6">
      <c r="B87" t="s">
        <v>135</v>
      </c>
      <c r="C87" t="str">
        <f>RES!S20</f>
        <v>GQLFG</v>
      </c>
      <c r="D87" s="80">
        <f>D47</f>
        <v>29.365841946773219</v>
      </c>
    </row>
    <row r="88" spans="1:6">
      <c r="B88" t="s">
        <v>304</v>
      </c>
      <c r="C88" t="str">
        <f>RES!S20</f>
        <v>GQLFG</v>
      </c>
      <c r="D88" s="80">
        <f>D48</f>
        <v>29.07</v>
      </c>
    </row>
    <row r="93" spans="1:6" ht="21">
      <c r="A93" s="20" t="s">
        <v>524</v>
      </c>
    </row>
    <row r="96" spans="1:6">
      <c r="B96" s="30" t="s">
        <v>131</v>
      </c>
    </row>
    <row r="97" spans="2:6">
      <c r="B97" s="78" t="s">
        <v>35</v>
      </c>
      <c r="C97" s="78" t="s">
        <v>36</v>
      </c>
      <c r="D97" s="78" t="s">
        <v>137</v>
      </c>
      <c r="E97" s="78" t="s">
        <v>138</v>
      </c>
      <c r="F97" s="78" t="s">
        <v>522</v>
      </c>
    </row>
    <row r="98" spans="2:6">
      <c r="B98" t="str">
        <f>RES!AA20</f>
        <v>LFGXLPP</v>
      </c>
      <c r="C98" t="str">
        <f>Definitions!C14</f>
        <v>LFG to the local market of LPG</v>
      </c>
      <c r="D98" t="str">
        <f>RES!X4</f>
        <v>LFG</v>
      </c>
      <c r="E98" t="str">
        <f>RES!AC4</f>
        <v>OLP</v>
      </c>
      <c r="F98">
        <v>1</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BDA2A0-B57E-42FB-95DA-1F5212C21FAC}">
  <sheetPr>
    <tabColor theme="9"/>
  </sheetPr>
  <dimension ref="A1:V58"/>
  <sheetViews>
    <sheetView topLeftCell="A21" workbookViewId="0">
      <selection activeCell="G40" sqref="G40"/>
    </sheetView>
  </sheetViews>
  <sheetFormatPr defaultRowHeight="15"/>
  <cols>
    <col min="2" max="2" width="21.42578125" customWidth="1"/>
    <col min="3" max="3" width="15.7109375" customWidth="1"/>
    <col min="6" max="6" width="19" customWidth="1"/>
    <col min="7" max="7" width="32.140625" customWidth="1"/>
  </cols>
  <sheetData>
    <row r="1" spans="2:18">
      <c r="B1" s="61" t="s">
        <v>96</v>
      </c>
    </row>
    <row r="3" spans="2:18">
      <c r="M3" s="62"/>
    </row>
    <row r="4" spans="2:18" ht="21">
      <c r="M4" s="62"/>
      <c r="O4" s="20" t="s">
        <v>97</v>
      </c>
    </row>
    <row r="5" spans="2:18">
      <c r="M5" s="62"/>
      <c r="P5" s="63"/>
    </row>
    <row r="6" spans="2:18">
      <c r="B6" s="21" t="s">
        <v>98</v>
      </c>
      <c r="M6" s="62"/>
      <c r="P6" s="64" t="s">
        <v>99</v>
      </c>
      <c r="Q6" s="25"/>
      <c r="R6" s="25"/>
    </row>
    <row r="7" spans="2:18">
      <c r="M7" s="62"/>
      <c r="P7" t="s">
        <v>100</v>
      </c>
    </row>
    <row r="8" spans="2:18">
      <c r="B8" s="21" t="s">
        <v>101</v>
      </c>
      <c r="C8" s="21" t="s">
        <v>74</v>
      </c>
      <c r="D8" s="21" t="s">
        <v>102</v>
      </c>
      <c r="M8" s="62"/>
      <c r="P8" s="65" t="s">
        <v>103</v>
      </c>
    </row>
    <row r="9" spans="2:18">
      <c r="B9" t="s">
        <v>104</v>
      </c>
      <c r="C9" t="s">
        <v>72</v>
      </c>
      <c r="D9">
        <v>120</v>
      </c>
      <c r="M9" s="62"/>
    </row>
    <row r="10" spans="2:18">
      <c r="B10" t="s">
        <v>105</v>
      </c>
      <c r="D10" s="32">
        <v>17.734266525466214</v>
      </c>
      <c r="M10" s="62"/>
      <c r="P10" t="s">
        <v>106</v>
      </c>
    </row>
    <row r="11" spans="2:18">
      <c r="M11" s="62"/>
      <c r="P11">
        <v>500</v>
      </c>
      <c r="Q11" t="s">
        <v>107</v>
      </c>
    </row>
    <row r="12" spans="2:18">
      <c r="M12" s="62"/>
      <c r="P12" t="s">
        <v>108</v>
      </c>
      <c r="Q12" t="s">
        <v>109</v>
      </c>
    </row>
    <row r="13" spans="2:18">
      <c r="M13" s="62"/>
      <c r="P13">
        <v>516</v>
      </c>
      <c r="Q13" t="s">
        <v>110</v>
      </c>
    </row>
    <row r="14" spans="2:18">
      <c r="M14" s="62"/>
    </row>
    <row r="15" spans="2:18">
      <c r="M15" s="62"/>
    </row>
    <row r="16" spans="2:18">
      <c r="M16" s="62"/>
    </row>
    <row r="17" spans="1:16">
      <c r="M17" s="62"/>
    </row>
    <row r="18" spans="1:16">
      <c r="M18" s="62"/>
      <c r="P18" s="33"/>
    </row>
    <row r="19" spans="1:16" ht="21">
      <c r="A19" s="20" t="s">
        <v>520</v>
      </c>
      <c r="M19" s="62"/>
    </row>
    <row r="20" spans="1:16">
      <c r="M20" s="62"/>
      <c r="P20" s="66"/>
    </row>
    <row r="21" spans="1:16">
      <c r="B21" t="s">
        <v>521</v>
      </c>
      <c r="M21" s="62"/>
    </row>
    <row r="22" spans="1:16">
      <c r="M22" s="62"/>
    </row>
    <row r="23" spans="1:16">
      <c r="B23" s="77" t="s">
        <v>131</v>
      </c>
      <c r="M23" s="62"/>
    </row>
    <row r="24" spans="1:16" ht="27">
      <c r="B24" s="78" t="s">
        <v>35</v>
      </c>
      <c r="C24" s="78" t="s">
        <v>137</v>
      </c>
      <c r="D24" s="78" t="s">
        <v>138</v>
      </c>
      <c r="E24" s="79" t="s">
        <v>522</v>
      </c>
      <c r="M24" s="62"/>
    </row>
    <row r="25" spans="1:16">
      <c r="B25" t="str">
        <f>RES!J8</f>
        <v>HGNXGQ</v>
      </c>
      <c r="C25" t="str">
        <f>RES!F4</f>
        <v>HGN</v>
      </c>
      <c r="D25" t="str">
        <f>RES!M4</f>
        <v>HGNGQ</v>
      </c>
      <c r="E25">
        <v>1</v>
      </c>
      <c r="M25" s="62"/>
    </row>
    <row r="26" spans="1:16">
      <c r="M26" s="62"/>
    </row>
    <row r="27" spans="1:16">
      <c r="M27" s="62"/>
    </row>
    <row r="28" spans="1:16">
      <c r="M28" s="62"/>
    </row>
    <row r="29" spans="1:16">
      <c r="M29" s="62"/>
    </row>
    <row r="30" spans="1:16">
      <c r="M30" s="62"/>
    </row>
    <row r="31" spans="1:16" ht="21">
      <c r="A31" s="20" t="s">
        <v>111</v>
      </c>
      <c r="M31" s="62"/>
    </row>
    <row r="32" spans="1:16">
      <c r="M32" s="62"/>
    </row>
    <row r="33" spans="2:22">
      <c r="M33" s="62"/>
    </row>
    <row r="34" spans="2:22">
      <c r="B34" s="67"/>
      <c r="C34" s="68">
        <v>2020</v>
      </c>
      <c r="D34" s="68">
        <v>2030</v>
      </c>
      <c r="E34" s="68">
        <v>2050</v>
      </c>
      <c r="F34" s="68" t="s">
        <v>74</v>
      </c>
      <c r="G34" s="68" t="s">
        <v>112</v>
      </c>
      <c r="M34" s="62"/>
    </row>
    <row r="35" spans="2:22">
      <c r="B35" s="67" t="s">
        <v>113</v>
      </c>
      <c r="C35" s="69">
        <f>P42</f>
        <v>76257.346059504736</v>
      </c>
      <c r="D35" s="69">
        <f>Q42</f>
        <v>51092.421859868169</v>
      </c>
      <c r="E35" s="69">
        <f>D35*(1-I35)</f>
        <v>45983.17967388135</v>
      </c>
      <c r="F35" s="67" t="s">
        <v>114</v>
      </c>
      <c r="G35" s="70" t="s">
        <v>115</v>
      </c>
      <c r="I35" s="71">
        <v>0.1</v>
      </c>
      <c r="M35" s="62"/>
    </row>
    <row r="36" spans="2:22">
      <c r="B36" s="67" t="s">
        <v>116</v>
      </c>
      <c r="C36" s="69">
        <f>$I$36*C35</f>
        <v>762.57346059504732</v>
      </c>
      <c r="D36" s="69">
        <f>$I$36*D35</f>
        <v>510.9242185986817</v>
      </c>
      <c r="E36" s="69">
        <f>$I$36*E35</f>
        <v>459.83179673881352</v>
      </c>
      <c r="F36" s="67" t="s">
        <v>117</v>
      </c>
      <c r="G36" s="67" t="s">
        <v>118</v>
      </c>
      <c r="I36" s="71">
        <v>0.01</v>
      </c>
      <c r="M36" s="62"/>
    </row>
    <row r="37" spans="2:22">
      <c r="B37" s="67" t="s">
        <v>119</v>
      </c>
      <c r="C37" s="67">
        <v>20</v>
      </c>
      <c r="D37" s="67"/>
      <c r="E37" s="67"/>
      <c r="F37" s="67" t="s">
        <v>58</v>
      </c>
      <c r="G37" s="67" t="s">
        <v>120</v>
      </c>
      <c r="H37" s="33"/>
      <c r="M37" s="62"/>
    </row>
    <row r="38" spans="2:22">
      <c r="B38" s="67" t="s">
        <v>121</v>
      </c>
      <c r="C38" s="67">
        <f>P51*3.6/D9</f>
        <v>3.0000000000000002E-2</v>
      </c>
      <c r="D38" s="67"/>
      <c r="E38" s="67"/>
      <c r="F38" s="67" t="s">
        <v>122</v>
      </c>
      <c r="G38" s="67" t="s">
        <v>123</v>
      </c>
      <c r="M38" s="62"/>
      <c r="P38" t="s">
        <v>124</v>
      </c>
    </row>
    <row r="39" spans="2:22">
      <c r="B39" s="67" t="s">
        <v>125</v>
      </c>
      <c r="C39" s="72">
        <v>0.99</v>
      </c>
      <c r="D39" s="67"/>
      <c r="E39" s="67"/>
      <c r="F39" s="67"/>
      <c r="G39" s="73" t="s">
        <v>126</v>
      </c>
      <c r="M39" s="62"/>
      <c r="P39" s="74">
        <f>P13*D10</f>
        <v>9150.8815271405674</v>
      </c>
      <c r="Q39" t="s">
        <v>127</v>
      </c>
      <c r="U39">
        <v>9.1999999999999998E-3</v>
      </c>
      <c r="V39" t="s">
        <v>42</v>
      </c>
    </row>
    <row r="40" spans="2:22">
      <c r="M40" s="62"/>
      <c r="P40" s="36">
        <f>P39/D9</f>
        <v>76.257346059504727</v>
      </c>
      <c r="Q40" t="s">
        <v>128</v>
      </c>
      <c r="U40" s="50">
        <f>U39*Q42</f>
        <v>470.05028111078713</v>
      </c>
      <c r="V40" t="s">
        <v>129</v>
      </c>
    </row>
    <row r="41" spans="2:22">
      <c r="M41" s="62"/>
      <c r="P41" s="21">
        <v>2020</v>
      </c>
      <c r="Q41" s="21">
        <v>2030</v>
      </c>
    </row>
    <row r="42" spans="2:22">
      <c r="M42" s="62"/>
      <c r="P42" s="45">
        <f>P40*1000000000/1000000</f>
        <v>76257.346059504736</v>
      </c>
      <c r="Q42" s="75">
        <f>P42*(1-P43)</f>
        <v>51092.421859868169</v>
      </c>
      <c r="R42" s="21" t="s">
        <v>130</v>
      </c>
      <c r="U42" s="76"/>
    </row>
    <row r="43" spans="2:22">
      <c r="B43" s="77" t="s">
        <v>131</v>
      </c>
      <c r="M43" s="62"/>
      <c r="P43" s="33">
        <v>0.33</v>
      </c>
      <c r="Q43" t="s">
        <v>132</v>
      </c>
    </row>
    <row r="44" spans="2:22">
      <c r="B44" s="78" t="s">
        <v>133</v>
      </c>
      <c r="C44" s="78" t="s">
        <v>35</v>
      </c>
      <c r="D44" s="78">
        <v>2020</v>
      </c>
      <c r="E44" s="79">
        <v>2030</v>
      </c>
      <c r="F44" s="78">
        <v>2050</v>
      </c>
      <c r="M44" s="62"/>
      <c r="U44" s="66"/>
    </row>
    <row r="45" spans="2:22">
      <c r="B45" t="s">
        <v>134</v>
      </c>
      <c r="C45" t="str">
        <f>B51</f>
        <v>H2STORGQ</v>
      </c>
      <c r="D45" s="80">
        <f t="shared" ref="D45:F46" si="0">C35</f>
        <v>76257.346059504736</v>
      </c>
      <c r="E45" s="80">
        <f t="shared" si="0"/>
        <v>51092.421859868169</v>
      </c>
      <c r="F45" s="80">
        <f t="shared" si="0"/>
        <v>45983.17967388135</v>
      </c>
      <c r="M45" s="62"/>
    </row>
    <row r="46" spans="2:22">
      <c r="B46" t="s">
        <v>135</v>
      </c>
      <c r="C46" t="str">
        <f>C45</f>
        <v>H2STORGQ</v>
      </c>
      <c r="D46" s="80">
        <f t="shared" si="0"/>
        <v>762.57346059504732</v>
      </c>
      <c r="E46" s="80">
        <f t="shared" si="0"/>
        <v>510.9242185986817</v>
      </c>
      <c r="F46" s="80">
        <f t="shared" si="0"/>
        <v>459.83179673881352</v>
      </c>
      <c r="M46" s="62"/>
    </row>
    <row r="47" spans="2:22">
      <c r="D47" s="80"/>
      <c r="E47" s="80"/>
      <c r="F47" s="80"/>
      <c r="M47" s="62"/>
    </row>
    <row r="48" spans="2:22">
      <c r="M48" s="62"/>
      <c r="O48" s="21" t="s">
        <v>136</v>
      </c>
    </row>
    <row r="49" spans="2:17">
      <c r="B49" s="77" t="s">
        <v>131</v>
      </c>
      <c r="C49" s="81"/>
      <c r="D49" s="81"/>
      <c r="F49" s="81"/>
      <c r="G49" s="81"/>
      <c r="H49" s="81"/>
      <c r="I49" s="81"/>
      <c r="J49" s="81"/>
      <c r="M49" s="62"/>
    </row>
    <row r="50" spans="2:17" ht="27">
      <c r="B50" s="78" t="s">
        <v>35</v>
      </c>
      <c r="C50" s="78" t="s">
        <v>137</v>
      </c>
      <c r="D50" s="78" t="s">
        <v>138</v>
      </c>
      <c r="E50" s="79" t="s">
        <v>139</v>
      </c>
      <c r="F50" s="78" t="s">
        <v>140</v>
      </c>
      <c r="G50" s="78" t="s">
        <v>141</v>
      </c>
      <c r="H50" s="78" t="s">
        <v>142</v>
      </c>
      <c r="I50" s="78" t="s">
        <v>143</v>
      </c>
      <c r="M50" s="62"/>
      <c r="P50" t="s">
        <v>144</v>
      </c>
    </row>
    <row r="51" spans="2:17">
      <c r="B51" s="82" t="str">
        <f>RES!S29</f>
        <v>H2STORGQ</v>
      </c>
      <c r="C51" t="str">
        <f>RES!M4</f>
        <v>HGNGQ</v>
      </c>
      <c r="D51" t="str">
        <f>RES!M4</f>
        <v>HGNGQ</v>
      </c>
      <c r="F51">
        <v>20</v>
      </c>
      <c r="G51">
        <v>1</v>
      </c>
      <c r="H51" s="33">
        <f>C39</f>
        <v>0.99</v>
      </c>
      <c r="M51" s="62"/>
      <c r="P51">
        <v>1</v>
      </c>
      <c r="Q51" t="s">
        <v>145</v>
      </c>
    </row>
    <row r="52" spans="2:17">
      <c r="E52" t="str">
        <f>RES!D4</f>
        <v>INDELC</v>
      </c>
      <c r="I52" s="81">
        <f>C38</f>
        <v>3.0000000000000002E-2</v>
      </c>
      <c r="M52" s="62"/>
    </row>
    <row r="53" spans="2:17">
      <c r="M53" s="62"/>
      <c r="P53" s="21" t="s">
        <v>99</v>
      </c>
      <c r="Q53" t="s">
        <v>146</v>
      </c>
    </row>
    <row r="54" spans="2:17">
      <c r="M54" s="62"/>
      <c r="Q54" s="65" t="s">
        <v>147</v>
      </c>
    </row>
    <row r="55" spans="2:17">
      <c r="M55" s="62"/>
    </row>
    <row r="56" spans="2:17">
      <c r="M56" s="62"/>
    </row>
    <row r="57" spans="2:17">
      <c r="M57" s="62"/>
    </row>
    <row r="58" spans="2:17">
      <c r="M58" s="62"/>
    </row>
  </sheetData>
  <hyperlinks>
    <hyperlink ref="P8" r:id="rId1" xr:uid="{18AF80B7-305B-483B-88C8-6E8C7AF79EFA}"/>
    <hyperlink ref="Q54" r:id="rId2" display="https://doi.org/10.1016/j.xcrp.2020.100174" xr:uid="{A97CEFC2-F5ED-4787-B6B3-E0D94F9018F2}"/>
  </hyperlinks>
  <pageMargins left="0.7" right="0.7" top="0.75" bottom="0.75" header="0.3" footer="0.3"/>
  <drawing r:id="rId3"/>
  <tableParts count="1">
    <tablePart r:id="rId4"/>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668F2B-4EBA-4EDD-81C1-CD2D4C35F23D}">
  <sheetPr>
    <tabColor theme="9"/>
  </sheetPr>
  <dimension ref="B5:I18"/>
  <sheetViews>
    <sheetView workbookViewId="0">
      <selection activeCell="B8" sqref="B8"/>
    </sheetView>
  </sheetViews>
  <sheetFormatPr defaultRowHeight="15"/>
  <cols>
    <col min="2" max="4" width="14.5703125" customWidth="1"/>
    <col min="5" max="5" width="11.5703125" customWidth="1"/>
    <col min="9" max="9" width="13.7109375" customWidth="1"/>
  </cols>
  <sheetData>
    <row r="5" spans="2:9">
      <c r="B5" s="83" t="s">
        <v>148</v>
      </c>
    </row>
    <row r="7" spans="2:9">
      <c r="B7" t="s">
        <v>523</v>
      </c>
    </row>
    <row r="9" spans="2:9">
      <c r="B9" s="77"/>
    </row>
    <row r="10" spans="2:9">
      <c r="B10" s="78" t="s">
        <v>133</v>
      </c>
      <c r="C10" s="78" t="s">
        <v>35</v>
      </c>
      <c r="D10" s="78">
        <v>2020</v>
      </c>
      <c r="E10" s="79">
        <v>2030</v>
      </c>
      <c r="F10" s="78">
        <v>2050</v>
      </c>
    </row>
    <row r="11" spans="2:9">
      <c r="B11" t="s">
        <v>134</v>
      </c>
      <c r="C11" t="str">
        <f>B17</f>
        <v>CO2STORGQ</v>
      </c>
      <c r="D11" s="80">
        <v>76257.346059504736</v>
      </c>
      <c r="E11" s="80">
        <v>51092.421859868169</v>
      </c>
      <c r="F11" s="80">
        <v>45983.17967388135</v>
      </c>
    </row>
    <row r="12" spans="2:9">
      <c r="B12" t="s">
        <v>135</v>
      </c>
      <c r="C12" t="str">
        <f>C11</f>
        <v>CO2STORGQ</v>
      </c>
      <c r="D12" s="80">
        <v>762.57346059504732</v>
      </c>
      <c r="E12" s="80">
        <v>510.9242185986817</v>
      </c>
      <c r="F12" s="80">
        <v>459.83179673881352</v>
      </c>
    </row>
    <row r="13" spans="2:9">
      <c r="D13" s="80"/>
      <c r="E13" s="80"/>
      <c r="F13" s="80"/>
    </row>
    <row r="15" spans="2:9">
      <c r="B15" s="77"/>
      <c r="C15" s="81"/>
      <c r="D15" s="81"/>
      <c r="F15" s="81"/>
      <c r="G15" s="81"/>
      <c r="H15" s="81"/>
      <c r="I15" s="81"/>
    </row>
    <row r="16" spans="2:9">
      <c r="B16" s="78" t="s">
        <v>35</v>
      </c>
      <c r="C16" s="78" t="s">
        <v>137</v>
      </c>
      <c r="D16" s="78" t="s">
        <v>138</v>
      </c>
      <c r="E16" s="79" t="s">
        <v>139</v>
      </c>
      <c r="F16" s="78" t="s">
        <v>140</v>
      </c>
      <c r="G16" s="78" t="s">
        <v>141</v>
      </c>
      <c r="H16" s="78" t="s">
        <v>142</v>
      </c>
      <c r="I16" s="78" t="s">
        <v>143</v>
      </c>
    </row>
    <row r="17" spans="2:9">
      <c r="B17" s="82" t="str">
        <f>[1]RES!S27</f>
        <v>CO2STORGQ</v>
      </c>
      <c r="C17">
        <f>RES!O4</f>
        <v>0</v>
      </c>
      <c r="D17">
        <f>RES!O4</f>
        <v>0</v>
      </c>
      <c r="F17">
        <v>20</v>
      </c>
      <c r="G17">
        <v>1</v>
      </c>
      <c r="H17" s="33">
        <v>0.99</v>
      </c>
    </row>
    <row r="18" spans="2:9">
      <c r="E18" t="s">
        <v>14</v>
      </c>
      <c r="I18" s="81">
        <v>3.0000000000000002E-2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51E4B4-2D47-4C13-89D4-A9D28667714E}">
  <dimension ref="B2:G25"/>
  <sheetViews>
    <sheetView topLeftCell="A2" workbookViewId="0">
      <selection activeCell="C26" sqref="C26"/>
    </sheetView>
  </sheetViews>
  <sheetFormatPr defaultRowHeight="15"/>
  <cols>
    <col min="2" max="2" width="21.5703125" customWidth="1"/>
    <col min="3" max="3" width="12" customWidth="1"/>
    <col min="4" max="4" width="9.85546875" customWidth="1"/>
    <col min="7" max="7" width="13.28515625" bestFit="1" customWidth="1"/>
    <col min="9" max="9" width="11.5703125" bestFit="1" customWidth="1"/>
  </cols>
  <sheetData>
    <row r="2" spans="2:7">
      <c r="B2" s="21" t="s">
        <v>149</v>
      </c>
    </row>
    <row r="3" spans="2:7">
      <c r="B3" s="84" t="s">
        <v>150</v>
      </c>
      <c r="C3" s="85"/>
      <c r="D3" s="85"/>
      <c r="E3" s="27"/>
    </row>
    <row r="4" spans="2:7">
      <c r="B4" s="28"/>
      <c r="E4" s="23"/>
    </row>
    <row r="5" spans="2:7">
      <c r="B5" s="28"/>
      <c r="E5" s="23"/>
    </row>
    <row r="6" spans="2:7">
      <c r="B6" s="86" t="s">
        <v>151</v>
      </c>
      <c r="C6" s="21" t="s">
        <v>152</v>
      </c>
      <c r="E6" s="23"/>
    </row>
    <row r="7" spans="2:7">
      <c r="B7" s="28" t="s">
        <v>68</v>
      </c>
      <c r="C7" s="39">
        <v>464993.30243025097</v>
      </c>
      <c r="D7" t="s">
        <v>153</v>
      </c>
      <c r="E7" s="23"/>
    </row>
    <row r="8" spans="2:7">
      <c r="B8" s="28" t="s">
        <v>69</v>
      </c>
      <c r="C8" s="39">
        <v>63897</v>
      </c>
      <c r="D8" t="s">
        <v>154</v>
      </c>
      <c r="E8" s="23"/>
    </row>
    <row r="9" spans="2:7">
      <c r="B9" s="28"/>
      <c r="E9" s="23"/>
    </row>
    <row r="10" spans="2:7">
      <c r="B10" s="86" t="s">
        <v>155</v>
      </c>
      <c r="C10" s="21"/>
      <c r="E10" s="23"/>
      <c r="G10" t="s">
        <v>156</v>
      </c>
    </row>
    <row r="11" spans="2:7">
      <c r="B11" s="28" t="s">
        <v>157</v>
      </c>
      <c r="C11" s="87">
        <v>100.312800674295</v>
      </c>
      <c r="D11" s="88" t="s">
        <v>158</v>
      </c>
      <c r="E11" s="23"/>
    </row>
    <row r="12" spans="2:7">
      <c r="B12" s="28" t="s">
        <v>159</v>
      </c>
      <c r="C12" s="87">
        <v>0</v>
      </c>
      <c r="D12" s="88" t="s">
        <v>158</v>
      </c>
      <c r="E12" s="23"/>
    </row>
    <row r="13" spans="2:7">
      <c r="B13" s="28" t="s">
        <v>160</v>
      </c>
      <c r="C13" s="87">
        <v>12697.886959874801</v>
      </c>
      <c r="D13" s="88" t="s">
        <v>158</v>
      </c>
      <c r="E13" s="23"/>
      <c r="G13">
        <v>28.9</v>
      </c>
    </row>
    <row r="14" spans="2:7">
      <c r="B14" s="28" t="s">
        <v>161</v>
      </c>
      <c r="C14" s="87">
        <v>78276.457969317693</v>
      </c>
      <c r="D14" s="88" t="s">
        <v>158</v>
      </c>
      <c r="E14" s="23"/>
      <c r="G14">
        <v>45.3</v>
      </c>
    </row>
    <row r="15" spans="2:7">
      <c r="B15" s="28" t="s">
        <v>162</v>
      </c>
      <c r="C15" s="87">
        <v>0</v>
      </c>
      <c r="D15" s="88" t="s">
        <v>158</v>
      </c>
      <c r="E15" s="23"/>
    </row>
    <row r="16" spans="2:7">
      <c r="B16" s="28" t="s">
        <v>163</v>
      </c>
      <c r="C16" s="87">
        <v>8.5441892367100202E-9</v>
      </c>
      <c r="D16" s="88" t="s">
        <v>158</v>
      </c>
      <c r="E16" s="23"/>
    </row>
    <row r="17" spans="2:7">
      <c r="B17" s="28" t="s">
        <v>164</v>
      </c>
      <c r="C17" s="87">
        <v>8.3770146600759094</v>
      </c>
      <c r="D17" s="88" t="s">
        <v>158</v>
      </c>
      <c r="E17" s="23"/>
      <c r="G17">
        <v>47.8</v>
      </c>
    </row>
    <row r="18" spans="2:7">
      <c r="B18" s="28" t="s">
        <v>165</v>
      </c>
      <c r="C18" s="87">
        <v>13197.701644689199</v>
      </c>
      <c r="D18" s="88" t="s">
        <v>158</v>
      </c>
      <c r="E18" s="23"/>
      <c r="G18">
        <v>46.4</v>
      </c>
    </row>
    <row r="19" spans="2:7">
      <c r="B19" s="28" t="s">
        <v>166</v>
      </c>
      <c r="C19" s="87">
        <v>7.8494755077627093E-6</v>
      </c>
      <c r="D19" s="88" t="s">
        <v>158</v>
      </c>
      <c r="E19" s="23"/>
    </row>
    <row r="20" spans="2:7">
      <c r="B20" s="28" t="s">
        <v>167</v>
      </c>
      <c r="C20" s="87">
        <v>7.3275210894301702E-29</v>
      </c>
      <c r="D20" s="88" t="s">
        <v>158</v>
      </c>
      <c r="E20" s="23"/>
    </row>
    <row r="21" spans="2:7">
      <c r="B21" s="89" t="s">
        <v>168</v>
      </c>
      <c r="C21" s="90">
        <f>SUM(C11:C20)</f>
        <v>104280.73639707407</v>
      </c>
      <c r="D21" s="25"/>
      <c r="E21" s="24"/>
      <c r="G21" s="91">
        <f>SUMPRODUCT(C11:C20,G11:G20)/C21</f>
        <v>43.398871288482624</v>
      </c>
    </row>
    <row r="24" spans="2:7">
      <c r="B24" s="37" t="s">
        <v>17</v>
      </c>
      <c r="C24" s="92">
        <f>C21*G21</f>
        <v>4525666.2567648031</v>
      </c>
      <c r="D24" s="38" t="s">
        <v>169</v>
      </c>
    </row>
    <row r="25" spans="2:7">
      <c r="B25" s="37" t="s">
        <v>170</v>
      </c>
      <c r="C25" s="92">
        <f>C24/3.6/1000</f>
        <v>1257.1295157680008</v>
      </c>
      <c r="D25" s="21" t="s">
        <v>171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CD5A57-D74D-409D-B5DD-88B56B5651E3}">
  <dimension ref="B5:M35"/>
  <sheetViews>
    <sheetView zoomScale="130" zoomScaleNormal="130" workbookViewId="0">
      <selection activeCell="E11" sqref="E11"/>
    </sheetView>
  </sheetViews>
  <sheetFormatPr defaultRowHeight="15"/>
  <cols>
    <col min="2" max="2" width="28.140625" bestFit="1" customWidth="1"/>
    <col min="3" max="3" width="34.85546875" bestFit="1" customWidth="1"/>
    <col min="4" max="4" width="27.7109375" customWidth="1"/>
    <col min="5" max="5" width="17.85546875" customWidth="1"/>
    <col min="6" max="6" width="8.42578125" customWidth="1"/>
    <col min="7" max="7" width="9.140625" customWidth="1"/>
    <col min="8" max="8" width="23.42578125" customWidth="1"/>
    <col min="9" max="9" width="17.7109375" customWidth="1"/>
    <col min="11" max="11" width="10.42578125" bestFit="1" customWidth="1"/>
    <col min="12" max="12" width="31.42578125" bestFit="1" customWidth="1"/>
    <col min="13" max="13" width="10" bestFit="1" customWidth="1"/>
  </cols>
  <sheetData>
    <row r="5" spans="2:10">
      <c r="B5" s="21" t="s">
        <v>172</v>
      </c>
    </row>
    <row r="6" spans="2:10">
      <c r="B6" s="93"/>
      <c r="C6" s="93"/>
      <c r="D6" s="93"/>
      <c r="E6" s="93" t="s">
        <v>61</v>
      </c>
    </row>
    <row r="7" spans="2:10">
      <c r="B7" s="94" t="s">
        <v>173</v>
      </c>
      <c r="C7" s="93"/>
      <c r="D7" s="93"/>
      <c r="E7" s="95">
        <f>M26</f>
        <v>105.544951959</v>
      </c>
    </row>
    <row r="8" spans="2:10" ht="30" customHeight="1">
      <c r="B8" s="207" t="s">
        <v>174</v>
      </c>
      <c r="C8" s="209" t="s">
        <v>175</v>
      </c>
      <c r="D8" s="98" t="s">
        <v>176</v>
      </c>
      <c r="E8" s="99">
        <f>-((D25/1.28)+(D29/1.28))</f>
        <v>43.618983531249995</v>
      </c>
    </row>
    <row r="9" spans="2:10">
      <c r="B9" s="208"/>
      <c r="C9" s="210"/>
      <c r="D9" s="93" t="s">
        <v>177</v>
      </c>
      <c r="E9" s="95">
        <f>-((D25/3.95)+(D29/2.4))</f>
        <v>14.47979754578059</v>
      </c>
    </row>
    <row r="10" spans="2:10" ht="73.5" customHeight="1">
      <c r="B10" s="96" t="s">
        <v>174</v>
      </c>
      <c r="C10" s="97" t="s">
        <v>178</v>
      </c>
      <c r="D10" s="100" t="s">
        <v>179</v>
      </c>
      <c r="E10" s="101">
        <f>10*E11*0.01</f>
        <v>6.6627864335704041</v>
      </c>
    </row>
    <row r="11" spans="2:10" ht="75">
      <c r="B11" s="94" t="s">
        <v>180</v>
      </c>
      <c r="C11" s="102"/>
      <c r="D11" s="100" t="s">
        <v>181</v>
      </c>
      <c r="E11" s="103">
        <f>'[1]Summary mass flow of process'!C25*0.053</f>
        <v>66.627864335704047</v>
      </c>
    </row>
    <row r="12" spans="2:10">
      <c r="B12" s="88"/>
      <c r="C12" s="88"/>
      <c r="D12" s="104" t="s">
        <v>182</v>
      </c>
      <c r="E12" s="105">
        <f>SUM(E7:E8,E10:E11)</f>
        <v>222.45458625952443</v>
      </c>
    </row>
    <row r="13" spans="2:10">
      <c r="D13" s="106" t="s">
        <v>183</v>
      </c>
      <c r="E13" s="107">
        <f>SUM(E7,E9:E11)</f>
        <v>193.31540027405504</v>
      </c>
    </row>
    <row r="15" spans="2:10">
      <c r="B15" s="21" t="s">
        <v>184</v>
      </c>
      <c r="J15" s="21"/>
    </row>
    <row r="16" spans="2:10" ht="15.75" thickBot="1"/>
    <row r="17" spans="2:13">
      <c r="B17" s="211" t="s">
        <v>185</v>
      </c>
      <c r="C17" s="212"/>
      <c r="D17" s="213" t="s">
        <v>186</v>
      </c>
      <c r="E17" s="215" t="s">
        <v>187</v>
      </c>
      <c r="F17" s="216"/>
      <c r="K17" s="108" t="s">
        <v>185</v>
      </c>
      <c r="L17" s="109"/>
      <c r="M17" s="203" t="s">
        <v>186</v>
      </c>
    </row>
    <row r="18" spans="2:13" ht="15.75" thickBot="1">
      <c r="B18" s="110" t="s">
        <v>188</v>
      </c>
      <c r="C18" s="111" t="s">
        <v>189</v>
      </c>
      <c r="D18" s="214"/>
      <c r="E18" s="27" t="s">
        <v>190</v>
      </c>
      <c r="F18" s="112" t="s">
        <v>191</v>
      </c>
      <c r="K18" s="113" t="s">
        <v>188</v>
      </c>
      <c r="L18" s="111" t="s">
        <v>189</v>
      </c>
      <c r="M18" s="204"/>
    </row>
    <row r="19" spans="2:13" ht="18">
      <c r="B19" s="114" t="s">
        <v>192</v>
      </c>
      <c r="C19" s="115" t="s">
        <v>193</v>
      </c>
      <c r="D19" s="116">
        <v>-11.1813077</v>
      </c>
      <c r="E19" s="117">
        <v>108.878599630944</v>
      </c>
      <c r="F19" s="118">
        <v>40</v>
      </c>
      <c r="G19" s="22" t="s">
        <v>194</v>
      </c>
      <c r="I19">
        <f t="shared" ref="I19:I25" si="0">(1/(((E19+273)/(273+F19))-1))*0.7</f>
        <v>3.1809589796243238</v>
      </c>
      <c r="K19" s="114" t="s">
        <v>195</v>
      </c>
      <c r="L19" s="119" t="s">
        <v>196</v>
      </c>
      <c r="M19" s="120">
        <v>12.743917100000001</v>
      </c>
    </row>
    <row r="20" spans="2:13" ht="18">
      <c r="B20" s="121" t="s">
        <v>197</v>
      </c>
      <c r="C20" s="122" t="s">
        <v>198</v>
      </c>
      <c r="D20" s="123">
        <v>-143</v>
      </c>
      <c r="E20" s="124">
        <v>206</v>
      </c>
      <c r="F20" s="125">
        <v>40</v>
      </c>
      <c r="G20" s="22" t="s">
        <v>194</v>
      </c>
      <c r="I20">
        <f t="shared" si="0"/>
        <v>1.3198795180722891</v>
      </c>
      <c r="K20" s="121" t="s">
        <v>199</v>
      </c>
      <c r="L20" s="126" t="s">
        <v>200</v>
      </c>
      <c r="M20" s="127">
        <v>14.3889601</v>
      </c>
    </row>
    <row r="21" spans="2:13">
      <c r="B21" s="121" t="s">
        <v>201</v>
      </c>
      <c r="C21" s="122" t="s">
        <v>202</v>
      </c>
      <c r="D21" s="123">
        <v>-33.452758899999999</v>
      </c>
      <c r="E21" s="124">
        <v>140.68895440073101</v>
      </c>
      <c r="F21" s="125">
        <v>40</v>
      </c>
      <c r="G21" s="22" t="s">
        <v>194</v>
      </c>
      <c r="I21">
        <f t="shared" si="0"/>
        <v>2.1760082950907012</v>
      </c>
      <c r="K21" s="121" t="s">
        <v>203</v>
      </c>
      <c r="L21" s="67" t="s">
        <v>204</v>
      </c>
      <c r="M21" s="127">
        <v>30.2371205</v>
      </c>
    </row>
    <row r="22" spans="2:13">
      <c r="B22" s="121" t="s">
        <v>205</v>
      </c>
      <c r="C22" s="122" t="s">
        <v>206</v>
      </c>
      <c r="D22" s="123">
        <v>-232.02699999999999</v>
      </c>
      <c r="E22" s="124">
        <v>138.09</v>
      </c>
      <c r="F22" s="125">
        <v>40</v>
      </c>
      <c r="G22" s="22" t="s">
        <v>194</v>
      </c>
      <c r="I22">
        <f t="shared" si="0"/>
        <v>2.2336629625853806</v>
      </c>
      <c r="K22" s="121" t="s">
        <v>207</v>
      </c>
      <c r="L22" s="67" t="s">
        <v>208</v>
      </c>
      <c r="M22" s="127">
        <v>30.4787523</v>
      </c>
    </row>
    <row r="23" spans="2:13">
      <c r="B23" s="121" t="s">
        <v>209</v>
      </c>
      <c r="C23" s="122" t="s">
        <v>210</v>
      </c>
      <c r="D23" s="123">
        <v>-87.12791</v>
      </c>
      <c r="E23" s="124">
        <v>197.69</v>
      </c>
      <c r="F23" s="125">
        <v>60</v>
      </c>
      <c r="G23" s="22" t="s">
        <v>194</v>
      </c>
      <c r="I23">
        <f t="shared" si="0"/>
        <v>1.6929334011184543</v>
      </c>
      <c r="K23" s="121" t="s">
        <v>211</v>
      </c>
      <c r="L23" s="67" t="s">
        <v>212</v>
      </c>
      <c r="M23" s="127">
        <v>0.15554437900000001</v>
      </c>
    </row>
    <row r="24" spans="2:13">
      <c r="B24" s="121" t="s">
        <v>213</v>
      </c>
      <c r="C24" s="122" t="s">
        <v>214</v>
      </c>
      <c r="D24" s="123">
        <v>-198.303</v>
      </c>
      <c r="E24" s="124">
        <v>210.65899999999999</v>
      </c>
      <c r="F24" s="125">
        <v>40</v>
      </c>
      <c r="G24" s="22" t="s">
        <v>194</v>
      </c>
      <c r="I24">
        <f t="shared" si="0"/>
        <v>1.2838467353025622</v>
      </c>
      <c r="K24" s="121" t="s">
        <v>215</v>
      </c>
      <c r="L24" s="126" t="s">
        <v>216</v>
      </c>
      <c r="M24" s="127">
        <v>8.2849039599999994</v>
      </c>
    </row>
    <row r="25" spans="2:13" ht="15.75" thickBot="1">
      <c r="B25" s="121" t="s">
        <v>217</v>
      </c>
      <c r="C25" s="122" t="s">
        <v>218</v>
      </c>
      <c r="D25" s="123">
        <v>-53.722000000000001</v>
      </c>
      <c r="E25" s="124">
        <v>-4.5999999999999996</v>
      </c>
      <c r="F25" s="125">
        <v>-45</v>
      </c>
      <c r="G25" s="22" t="s">
        <v>219</v>
      </c>
      <c r="H25" t="s">
        <v>220</v>
      </c>
      <c r="I25">
        <f t="shared" si="0"/>
        <v>3.9504950495049527</v>
      </c>
      <c r="K25" s="128" t="s">
        <v>221</v>
      </c>
      <c r="L25" s="129" t="s">
        <v>222</v>
      </c>
      <c r="M25" s="130">
        <v>9.2557536200000001</v>
      </c>
    </row>
    <row r="26" spans="2:13">
      <c r="B26" s="121" t="s">
        <v>223</v>
      </c>
      <c r="C26" s="122" t="s">
        <v>224</v>
      </c>
      <c r="D26" s="123">
        <f>-(124.119646-70)</f>
        <v>-54.119646000000003</v>
      </c>
      <c r="E26" s="124">
        <v>167.821482</v>
      </c>
      <c r="F26" s="125">
        <v>166.677032</v>
      </c>
      <c r="G26" s="22" t="s">
        <v>194</v>
      </c>
      <c r="L26" s="131" t="s">
        <v>225</v>
      </c>
      <c r="M26" s="132">
        <f>SUM(M19:M25)</f>
        <v>105.544951959</v>
      </c>
    </row>
    <row r="27" spans="2:13">
      <c r="B27" s="121" t="s">
        <v>226</v>
      </c>
      <c r="C27" s="122" t="s">
        <v>227</v>
      </c>
      <c r="D27" s="123">
        <v>-34.681978000000001</v>
      </c>
      <c r="E27" s="124">
        <v>76.408107000000001</v>
      </c>
      <c r="F27" s="125">
        <v>73.491232999999994</v>
      </c>
      <c r="G27" s="22" t="s">
        <v>194</v>
      </c>
    </row>
    <row r="28" spans="2:13">
      <c r="B28" s="121" t="s">
        <v>228</v>
      </c>
      <c r="C28" s="122" t="s">
        <v>229</v>
      </c>
      <c r="D28" s="123">
        <v>-20.463768300000002</v>
      </c>
      <c r="E28" s="124">
        <v>168.67379</v>
      </c>
      <c r="F28" s="125">
        <v>168.30381600000001</v>
      </c>
      <c r="G28" s="22" t="s">
        <v>194</v>
      </c>
    </row>
    <row r="29" spans="2:13">
      <c r="B29" s="121" t="s">
        <v>230</v>
      </c>
      <c r="C29" s="122" t="s">
        <v>231</v>
      </c>
      <c r="D29" s="123">
        <v>-2.11029892</v>
      </c>
      <c r="E29" s="124">
        <v>-17.866565000000001</v>
      </c>
      <c r="F29" s="125">
        <v>-19.757805000000001</v>
      </c>
      <c r="G29" s="22" t="s">
        <v>219</v>
      </c>
      <c r="H29" t="s">
        <v>232</v>
      </c>
    </row>
    <row r="30" spans="2:13">
      <c r="B30" s="133" t="s">
        <v>233</v>
      </c>
      <c r="C30" s="112" t="s">
        <v>234</v>
      </c>
      <c r="D30" s="134">
        <v>-51.757962399999997</v>
      </c>
      <c r="E30" s="135">
        <v>104.316935</v>
      </c>
      <c r="F30" s="136">
        <v>98.593802999999994</v>
      </c>
      <c r="G30" s="22" t="s">
        <v>194</v>
      </c>
      <c r="I30" s="65" t="s">
        <v>235</v>
      </c>
    </row>
    <row r="31" spans="2:13">
      <c r="B31" s="67"/>
      <c r="C31" s="67" t="s">
        <v>225</v>
      </c>
      <c r="D31" s="137">
        <f>SUM(D19:D30)</f>
        <v>-921.94763021999984</v>
      </c>
      <c r="E31" s="67"/>
      <c r="F31" s="67"/>
      <c r="I31" s="65" t="s">
        <v>236</v>
      </c>
    </row>
    <row r="33" spans="2:8">
      <c r="B33" s="205"/>
      <c r="C33" s="205"/>
      <c r="D33" s="205"/>
      <c r="E33" s="206"/>
      <c r="F33" s="206"/>
    </row>
    <row r="34" spans="2:8">
      <c r="B34" s="88"/>
      <c r="C34" s="88"/>
      <c r="D34" s="205"/>
      <c r="G34" s="22"/>
    </row>
    <row r="35" spans="2:8">
      <c r="D35" s="32"/>
      <c r="E35" s="32"/>
      <c r="F35" s="32"/>
      <c r="G35" s="22"/>
      <c r="H35" s="138"/>
    </row>
  </sheetData>
  <mergeCells count="9">
    <mergeCell ref="M17:M18"/>
    <mergeCell ref="B33:C33"/>
    <mergeCell ref="D33:D34"/>
    <mergeCell ref="E33:F33"/>
    <mergeCell ref="B8:B9"/>
    <mergeCell ref="C8:C9"/>
    <mergeCell ref="B17:C17"/>
    <mergeCell ref="D17:D18"/>
    <mergeCell ref="E17:F17"/>
  </mergeCells>
  <hyperlinks>
    <hyperlink ref="I30" r:id="rId1" xr:uid="{7D7B5C36-2027-4FF7-9A87-3FDCA11F3BF0}"/>
    <hyperlink ref="I31" r:id="rId2" xr:uid="{975C061B-E289-4E28-9D4A-41195996F0BF}"/>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81220A-6230-4CCD-8FF1-8BA61454AEBD}">
  <dimension ref="B4:O20"/>
  <sheetViews>
    <sheetView workbookViewId="0">
      <selection activeCell="C26" sqref="C26"/>
    </sheetView>
  </sheetViews>
  <sheetFormatPr defaultRowHeight="15"/>
  <cols>
    <col min="2" max="2" width="57.7109375" customWidth="1"/>
    <col min="3" max="9" width="14" customWidth="1"/>
    <col min="15" max="15" width="10.5703125" bestFit="1" customWidth="1"/>
  </cols>
  <sheetData>
    <row r="4" spans="2:15">
      <c r="B4" s="84" t="s">
        <v>237</v>
      </c>
      <c r="C4" s="85"/>
      <c r="D4" s="85"/>
      <c r="E4" s="85"/>
      <c r="F4" s="85"/>
      <c r="G4" s="85"/>
      <c r="H4" s="85"/>
      <c r="I4" s="85"/>
      <c r="J4" s="27"/>
      <c r="N4" t="s">
        <v>17</v>
      </c>
    </row>
    <row r="5" spans="2:15" ht="15.75" thickBot="1">
      <c r="B5" s="28"/>
      <c r="J5" s="23"/>
      <c r="N5">
        <v>43.4</v>
      </c>
      <c r="O5" t="s">
        <v>72</v>
      </c>
    </row>
    <row r="6" spans="2:15" ht="30.75" thickBot="1">
      <c r="B6" s="217" t="s">
        <v>238</v>
      </c>
      <c r="C6" s="219" t="s">
        <v>239</v>
      </c>
      <c r="D6" s="220"/>
      <c r="E6" s="219" t="s">
        <v>240</v>
      </c>
      <c r="F6" s="220"/>
      <c r="G6" s="219" t="s">
        <v>241</v>
      </c>
      <c r="H6" s="220"/>
      <c r="I6" s="139" t="s">
        <v>242</v>
      </c>
      <c r="J6" s="23"/>
    </row>
    <row r="7" spans="2:15" ht="15.75" thickBot="1">
      <c r="B7" s="218"/>
      <c r="C7" s="140" t="s">
        <v>225</v>
      </c>
      <c r="D7" s="140" t="s">
        <v>243</v>
      </c>
      <c r="E7" s="140" t="s">
        <v>225</v>
      </c>
      <c r="F7" s="140" t="s">
        <v>243</v>
      </c>
      <c r="G7" s="140" t="s">
        <v>225</v>
      </c>
      <c r="H7" s="140" t="s">
        <v>243</v>
      </c>
      <c r="I7" s="140" t="s">
        <v>243</v>
      </c>
      <c r="J7" s="23"/>
      <c r="N7" t="s">
        <v>244</v>
      </c>
      <c r="O7" t="s">
        <v>152</v>
      </c>
    </row>
    <row r="8" spans="2:15" ht="15.75" thickBot="1">
      <c r="B8" s="141" t="s">
        <v>245</v>
      </c>
      <c r="C8" s="142">
        <v>147</v>
      </c>
      <c r="D8" s="142">
        <v>147</v>
      </c>
      <c r="E8" s="142">
        <v>60</v>
      </c>
      <c r="F8" s="142">
        <v>60</v>
      </c>
      <c r="G8" s="142">
        <v>305</v>
      </c>
      <c r="H8" s="142">
        <v>305</v>
      </c>
      <c r="I8" s="142" t="s">
        <v>246</v>
      </c>
      <c r="J8" s="23"/>
      <c r="N8" s="32">
        <f>C8/N5</f>
        <v>3.3870967741935485</v>
      </c>
      <c r="O8" s="40">
        <f>N8*3600</f>
        <v>12193.548387096775</v>
      </c>
    </row>
    <row r="9" spans="2:15" ht="15.75" thickBot="1">
      <c r="B9" s="141" t="s">
        <v>247</v>
      </c>
      <c r="C9" s="142">
        <v>147</v>
      </c>
      <c r="D9" s="142" t="s">
        <v>246</v>
      </c>
      <c r="E9" s="142">
        <v>60</v>
      </c>
      <c r="F9" s="142" t="s">
        <v>246</v>
      </c>
      <c r="G9" s="142">
        <v>305</v>
      </c>
      <c r="H9" s="142" t="s">
        <v>246</v>
      </c>
      <c r="I9" s="142" t="s">
        <v>246</v>
      </c>
      <c r="J9" s="23"/>
    </row>
    <row r="10" spans="2:15" ht="15.75" thickBot="1">
      <c r="B10" s="141" t="s">
        <v>248</v>
      </c>
      <c r="C10" s="142">
        <v>147</v>
      </c>
      <c r="D10" s="142" t="s">
        <v>246</v>
      </c>
      <c r="E10" s="142">
        <v>60</v>
      </c>
      <c r="F10" s="142" t="s">
        <v>246</v>
      </c>
      <c r="G10" s="142">
        <v>305</v>
      </c>
      <c r="H10" s="142">
        <v>225</v>
      </c>
      <c r="I10" s="142" t="s">
        <v>246</v>
      </c>
      <c r="J10" s="23"/>
    </row>
    <row r="11" spans="2:15" ht="15.75" thickBot="1">
      <c r="B11" s="141" t="s">
        <v>249</v>
      </c>
      <c r="C11" s="142">
        <v>147</v>
      </c>
      <c r="D11" s="142" t="s">
        <v>246</v>
      </c>
      <c r="E11" s="142">
        <v>60</v>
      </c>
      <c r="F11" s="142" t="s">
        <v>246</v>
      </c>
      <c r="G11" s="142">
        <v>305</v>
      </c>
      <c r="H11" s="142">
        <v>225</v>
      </c>
      <c r="I11" s="142">
        <v>98</v>
      </c>
      <c r="J11" s="23"/>
    </row>
    <row r="12" spans="2:15" ht="15.75" thickBot="1">
      <c r="B12" s="141" t="s">
        <v>250</v>
      </c>
      <c r="C12" s="142">
        <v>147</v>
      </c>
      <c r="D12" s="142" t="s">
        <v>246</v>
      </c>
      <c r="E12" s="142">
        <v>60</v>
      </c>
      <c r="F12" s="142" t="s">
        <v>246</v>
      </c>
      <c r="G12" s="142">
        <v>305</v>
      </c>
      <c r="H12" s="142">
        <v>305</v>
      </c>
      <c r="I12" s="142" t="s">
        <v>246</v>
      </c>
      <c r="J12" s="23"/>
    </row>
    <row r="13" spans="2:15" ht="15.75" thickBot="1">
      <c r="B13" s="141" t="s">
        <v>251</v>
      </c>
      <c r="C13" s="142">
        <v>147</v>
      </c>
      <c r="D13" s="142" t="s">
        <v>246</v>
      </c>
      <c r="E13" s="142">
        <v>60</v>
      </c>
      <c r="F13" s="142" t="s">
        <v>246</v>
      </c>
      <c r="G13" s="142">
        <v>305</v>
      </c>
      <c r="H13" s="142">
        <v>305</v>
      </c>
      <c r="I13" s="142">
        <v>126</v>
      </c>
      <c r="J13" s="23"/>
    </row>
    <row r="14" spans="2:15" ht="15.75" thickBot="1">
      <c r="B14" s="141" t="s">
        <v>252</v>
      </c>
      <c r="C14" s="142">
        <v>18.600000000000001</v>
      </c>
      <c r="D14" s="142" t="s">
        <v>246</v>
      </c>
      <c r="E14" s="142">
        <v>7.6</v>
      </c>
      <c r="F14" s="142" t="s">
        <v>246</v>
      </c>
      <c r="G14" s="142">
        <v>38.5</v>
      </c>
      <c r="H14" s="142">
        <v>28.4</v>
      </c>
      <c r="I14" s="142" t="s">
        <v>246</v>
      </c>
      <c r="J14" s="23"/>
    </row>
    <row r="15" spans="2:15" ht="15.75" thickBot="1">
      <c r="B15" s="141" t="s">
        <v>253</v>
      </c>
      <c r="C15" s="142">
        <v>1.34</v>
      </c>
      <c r="D15" s="142" t="s">
        <v>246</v>
      </c>
      <c r="E15" s="142">
        <v>0.54</v>
      </c>
      <c r="F15" s="142" t="s">
        <v>246</v>
      </c>
      <c r="G15" s="142">
        <v>2.79</v>
      </c>
      <c r="H15" s="142">
        <v>2.06</v>
      </c>
      <c r="I15" s="142" t="s">
        <v>246</v>
      </c>
      <c r="J15" s="23"/>
    </row>
    <row r="16" spans="2:15" ht="18.75" thickBot="1">
      <c r="B16" s="141" t="s">
        <v>254</v>
      </c>
      <c r="C16" s="142">
        <v>147</v>
      </c>
      <c r="D16" s="142" t="s">
        <v>246</v>
      </c>
      <c r="E16" s="142">
        <v>60</v>
      </c>
      <c r="F16" s="142" t="s">
        <v>246</v>
      </c>
      <c r="G16" s="142">
        <v>305</v>
      </c>
      <c r="H16" s="142">
        <v>305</v>
      </c>
      <c r="I16" s="142" t="s">
        <v>246</v>
      </c>
      <c r="J16" s="23"/>
    </row>
    <row r="17" spans="2:10">
      <c r="B17" s="143"/>
      <c r="J17" s="23"/>
    </row>
    <row r="18" spans="2:10">
      <c r="B18" s="28"/>
      <c r="J18" s="23"/>
    </row>
    <row r="19" spans="2:10">
      <c r="B19" s="28"/>
      <c r="J19" s="23"/>
    </row>
    <row r="20" spans="2:10">
      <c r="B20" s="26"/>
      <c r="C20" s="25"/>
      <c r="D20" s="25"/>
      <c r="E20" s="25"/>
      <c r="F20" s="25"/>
      <c r="G20" s="25"/>
      <c r="H20" s="25"/>
      <c r="I20" s="25"/>
      <c r="J20" s="24"/>
    </row>
  </sheetData>
  <mergeCells count="4">
    <mergeCell ref="B6:B7"/>
    <mergeCell ref="C6:D6"/>
    <mergeCell ref="E6:F6"/>
    <mergeCell ref="G6:H6"/>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93A9CC-CE47-4AE4-9850-755F89C0B029}">
  <dimension ref="A14:U50"/>
  <sheetViews>
    <sheetView topLeftCell="A29" zoomScaleNormal="100" workbookViewId="0">
      <selection activeCell="L49" sqref="L49"/>
    </sheetView>
  </sheetViews>
  <sheetFormatPr defaultRowHeight="15"/>
  <cols>
    <col min="2" max="2" width="15.85546875" customWidth="1"/>
    <col min="3" max="3" width="28.42578125" customWidth="1"/>
    <col min="4" max="4" width="15.28515625" customWidth="1"/>
    <col min="5" max="5" width="18" bestFit="1" customWidth="1"/>
    <col min="6" max="6" width="16.28515625" customWidth="1"/>
    <col min="7" max="7" width="18" bestFit="1" customWidth="1"/>
    <col min="8" max="8" width="25.7109375" customWidth="1"/>
    <col min="9" max="9" width="11.85546875" customWidth="1"/>
    <col min="10" max="10" width="13.42578125" bestFit="1" customWidth="1"/>
    <col min="11" max="12" width="11" bestFit="1" customWidth="1"/>
    <col min="13" max="13" width="9.5703125" bestFit="1" customWidth="1"/>
    <col min="14" max="14" width="26.7109375" customWidth="1"/>
    <col min="15" max="15" width="34.28515625" customWidth="1"/>
    <col min="16" max="16" width="36.28515625" customWidth="1"/>
    <col min="20" max="20" width="21.42578125" customWidth="1"/>
    <col min="23" max="23" width="10.140625" customWidth="1"/>
    <col min="24" max="24" width="31.42578125" customWidth="1"/>
    <col min="25" max="25" width="11" customWidth="1"/>
  </cols>
  <sheetData>
    <row r="14" spans="1:4" ht="24">
      <c r="A14" s="31" t="s">
        <v>50</v>
      </c>
    </row>
    <row r="15" spans="1:4">
      <c r="B15" s="21" t="s">
        <v>51</v>
      </c>
    </row>
    <row r="16" spans="1:4">
      <c r="B16" t="s">
        <v>52</v>
      </c>
      <c r="C16" s="21" t="s">
        <v>271</v>
      </c>
      <c r="D16" t="s">
        <v>272</v>
      </c>
    </row>
    <row r="17" spans="2:13">
      <c r="G17" s="32"/>
    </row>
    <row r="19" spans="2:13" ht="15.75" thickBot="1"/>
    <row r="20" spans="2:13">
      <c r="B20" s="146" t="s">
        <v>273</v>
      </c>
      <c r="C20" s="147"/>
      <c r="D20" s="147"/>
      <c r="E20" s="147"/>
      <c r="F20" s="147"/>
      <c r="G20" s="147"/>
      <c r="H20" s="147"/>
      <c r="I20" s="148"/>
    </row>
    <row r="21" spans="2:13">
      <c r="B21" s="56"/>
      <c r="C21" s="21" t="s">
        <v>67</v>
      </c>
      <c r="I21" s="57"/>
    </row>
    <row r="22" spans="2:13">
      <c r="B22" s="56"/>
      <c r="C22" s="21" t="s">
        <v>64</v>
      </c>
      <c r="D22" s="21" t="s">
        <v>74</v>
      </c>
      <c r="E22" s="21" t="s">
        <v>274</v>
      </c>
      <c r="F22" s="21" t="s">
        <v>275</v>
      </c>
      <c r="G22" s="21" t="s">
        <v>171</v>
      </c>
      <c r="H22" s="21" t="s">
        <v>276</v>
      </c>
      <c r="I22" s="149" t="s">
        <v>277</v>
      </c>
      <c r="K22" s="21"/>
      <c r="L22" s="21"/>
    </row>
    <row r="23" spans="2:13" ht="30">
      <c r="B23" s="56"/>
      <c r="C23" s="138" t="s">
        <v>278</v>
      </c>
      <c r="D23" t="s">
        <v>279</v>
      </c>
      <c r="E23" s="40">
        <f>E33*0.053</f>
        <v>1918873.3104000001</v>
      </c>
      <c r="F23" s="40">
        <f>F33*0.053</f>
        <v>239.85916380000003</v>
      </c>
      <c r="G23" s="40">
        <f>E23/28800</f>
        <v>66.627545499999997</v>
      </c>
      <c r="H23" s="40"/>
      <c r="I23" s="150"/>
    </row>
    <row r="24" spans="2:13">
      <c r="B24" s="56"/>
      <c r="C24" t="s">
        <v>68</v>
      </c>
      <c r="D24" t="s">
        <v>280</v>
      </c>
      <c r="E24" s="40">
        <f>I24*8000/10^6</f>
        <v>3719.944</v>
      </c>
      <c r="F24" s="40">
        <f>I24/10^6</f>
        <v>0.46499299999999999</v>
      </c>
      <c r="G24" s="40"/>
      <c r="H24" s="40"/>
      <c r="I24" s="150">
        <v>464993</v>
      </c>
    </row>
    <row r="25" spans="2:13">
      <c r="B25" s="56"/>
      <c r="C25" t="s">
        <v>69</v>
      </c>
      <c r="D25" t="s">
        <v>279</v>
      </c>
      <c r="E25" s="40">
        <f>H25*I25*8000/1000</f>
        <v>61341120</v>
      </c>
      <c r="F25" s="40">
        <f>H25*I25/1000</f>
        <v>7667.64</v>
      </c>
      <c r="G25" s="40"/>
      <c r="H25" s="40">
        <v>120</v>
      </c>
      <c r="I25" s="150">
        <v>63897</v>
      </c>
      <c r="K25" s="40">
        <f>I25*H25</f>
        <v>7667640</v>
      </c>
      <c r="L25" t="s">
        <v>169</v>
      </c>
    </row>
    <row r="26" spans="2:13">
      <c r="B26" s="56"/>
      <c r="C26" t="s">
        <v>281</v>
      </c>
      <c r="E26" s="40"/>
      <c r="F26" s="40"/>
      <c r="G26" s="40"/>
      <c r="H26" s="40"/>
      <c r="I26" s="150">
        <v>4528</v>
      </c>
      <c r="K26" s="40">
        <f>K25/3600</f>
        <v>2129.9</v>
      </c>
      <c r="L26" t="s">
        <v>282</v>
      </c>
    </row>
    <row r="27" spans="2:13">
      <c r="B27" s="56"/>
      <c r="E27" s="40"/>
      <c r="F27" s="40"/>
      <c r="G27" s="40"/>
      <c r="H27" s="40"/>
      <c r="I27" s="150"/>
      <c r="K27" s="40">
        <f>K26/M27</f>
        <v>3276.7692307692309</v>
      </c>
      <c r="L27" t="s">
        <v>61</v>
      </c>
      <c r="M27">
        <v>0.65</v>
      </c>
    </row>
    <row r="28" spans="2:13">
      <c r="B28" s="56"/>
      <c r="C28" s="21" t="s">
        <v>70</v>
      </c>
      <c r="E28" s="40"/>
      <c r="F28" s="40"/>
      <c r="G28" s="40"/>
      <c r="H28" s="40"/>
      <c r="I28" s="150" t="s">
        <v>152</v>
      </c>
      <c r="K28" t="s">
        <v>169</v>
      </c>
    </row>
    <row r="29" spans="2:13">
      <c r="B29" s="56"/>
      <c r="C29" t="s">
        <v>283</v>
      </c>
      <c r="D29" t="s">
        <v>279</v>
      </c>
      <c r="E29" s="40">
        <f>H29*I29*8000/1000</f>
        <v>28367222.399999999</v>
      </c>
      <c r="F29" s="40">
        <f>H29*I29/1000</f>
        <v>3545.9027999999998</v>
      </c>
      <c r="G29" s="40">
        <f>H29*I29/3600</f>
        <v>984.97299999999996</v>
      </c>
      <c r="H29">
        <v>45.3</v>
      </c>
      <c r="I29">
        <v>78276</v>
      </c>
      <c r="K29" s="40">
        <f>I29*H29</f>
        <v>3545902.8</v>
      </c>
      <c r="L29" s="41"/>
    </row>
    <row r="30" spans="2:13">
      <c r="B30" s="56"/>
      <c r="C30" t="s">
        <v>284</v>
      </c>
      <c r="D30" t="s">
        <v>279</v>
      </c>
      <c r="E30" s="40">
        <f>H30*I30*8000/1000</f>
        <v>4899097.5999999996</v>
      </c>
      <c r="F30" s="40">
        <f>H30*I30/1000</f>
        <v>612.38720000000001</v>
      </c>
      <c r="G30" s="40">
        <f>H30*I30/3600</f>
        <v>170.10755555555554</v>
      </c>
      <c r="H30">
        <v>46.4</v>
      </c>
      <c r="I30">
        <v>13198</v>
      </c>
      <c r="K30" s="40">
        <f>I30*H30</f>
        <v>612387.19999999995</v>
      </c>
      <c r="L30" s="41"/>
    </row>
    <row r="31" spans="2:13">
      <c r="B31" s="56"/>
      <c r="C31" t="s">
        <v>160</v>
      </c>
      <c r="D31" t="s">
        <v>279</v>
      </c>
      <c r="E31" s="40">
        <f>H31*I31*8000/1000</f>
        <v>2935777.5999999996</v>
      </c>
      <c r="F31" s="40">
        <f>H31*I31/1000</f>
        <v>366.97219999999993</v>
      </c>
      <c r="G31" s="40">
        <f>H31*I31/3600</f>
        <v>101.93672222222222</v>
      </c>
      <c r="H31">
        <v>28.9</v>
      </c>
      <c r="I31">
        <v>12698</v>
      </c>
      <c r="K31" s="40">
        <f>I31*H31</f>
        <v>366972.19999999995</v>
      </c>
      <c r="L31" s="41"/>
    </row>
    <row r="32" spans="2:13">
      <c r="B32" s="56"/>
      <c r="C32" t="s">
        <v>285</v>
      </c>
      <c r="D32" t="s">
        <v>279</v>
      </c>
      <c r="E32" s="40">
        <f>H32*I32*8000/1000</f>
        <v>3059.2</v>
      </c>
      <c r="F32" s="40">
        <f>H32*I32/1000</f>
        <v>0.38239999999999996</v>
      </c>
      <c r="G32" s="40">
        <f>H32*I32/3600</f>
        <v>0.10622222222222222</v>
      </c>
      <c r="H32">
        <v>47.8</v>
      </c>
      <c r="I32">
        <v>8</v>
      </c>
      <c r="K32" s="40">
        <f>I32*H32</f>
        <v>382.4</v>
      </c>
      <c r="L32" s="41"/>
    </row>
    <row r="33" spans="2:21">
      <c r="B33" s="56"/>
      <c r="C33" t="s">
        <v>17</v>
      </c>
      <c r="D33" t="s">
        <v>279</v>
      </c>
      <c r="E33" s="40">
        <f>SUM(E29:E32)</f>
        <v>36205156.800000004</v>
      </c>
      <c r="F33" s="40">
        <f>SUM(F29:F32)</f>
        <v>4525.6446000000005</v>
      </c>
      <c r="G33" s="40">
        <f>SUM(G29:G32)</f>
        <v>1257.1234999999999</v>
      </c>
      <c r="H33" s="151">
        <f>K33/I33</f>
        <v>43.440627759646773</v>
      </c>
      <c r="I33" s="92">
        <f>SUM(I29:I32)</f>
        <v>104180</v>
      </c>
      <c r="K33" s="92">
        <f>SUM(K29:K32)</f>
        <v>4525644.6000000006</v>
      </c>
    </row>
    <row r="34" spans="2:21" ht="15.75" thickBot="1">
      <c r="B34" s="59"/>
      <c r="C34" s="35" t="s">
        <v>281</v>
      </c>
      <c r="D34" s="35"/>
      <c r="E34" s="152"/>
      <c r="F34" s="152"/>
      <c r="G34" s="152"/>
      <c r="H34" s="152"/>
      <c r="I34" s="153">
        <f>333433+100</f>
        <v>333533</v>
      </c>
    </row>
    <row r="35" spans="2:21">
      <c r="C35" t="s">
        <v>286</v>
      </c>
    </row>
    <row r="36" spans="2:21" ht="15.75" thickBot="1">
      <c r="J36" s="36"/>
    </row>
    <row r="37" spans="2:21">
      <c r="B37" s="146" t="s">
        <v>287</v>
      </c>
      <c r="C37" s="147"/>
      <c r="D37" s="147"/>
      <c r="E37" s="147"/>
      <c r="F37" s="147" t="s">
        <v>288</v>
      </c>
      <c r="G37" s="55" t="s">
        <v>289</v>
      </c>
      <c r="J37" s="50"/>
      <c r="K37" s="47"/>
    </row>
    <row r="38" spans="2:21">
      <c r="B38" s="56"/>
      <c r="C38" t="s">
        <v>290</v>
      </c>
      <c r="D38" t="s">
        <v>291</v>
      </c>
      <c r="E38" s="40">
        <v>33313772750</v>
      </c>
      <c r="F38" s="40">
        <f>G50*G33/1000*10^6</f>
        <v>1666245363.6214285</v>
      </c>
      <c r="G38" s="150">
        <f>F38*20</f>
        <v>33324907272.42857</v>
      </c>
    </row>
    <row r="39" spans="2:21">
      <c r="B39" s="56"/>
      <c r="C39" t="s">
        <v>292</v>
      </c>
      <c r="D39" t="s">
        <v>293</v>
      </c>
      <c r="E39" s="40">
        <v>999413182.5</v>
      </c>
      <c r="F39" s="154">
        <f>0.03*F38</f>
        <v>49987360.908642851</v>
      </c>
      <c r="G39" s="150">
        <f>F39*20</f>
        <v>999747218.17285705</v>
      </c>
    </row>
    <row r="40" spans="2:21">
      <c r="B40" s="56"/>
      <c r="C40" t="s">
        <v>294</v>
      </c>
      <c r="D40" t="s">
        <v>291</v>
      </c>
      <c r="E40" s="40">
        <v>1339590801.6000004</v>
      </c>
      <c r="F40" s="40">
        <f>1.85*E33</f>
        <v>66979540.080000013</v>
      </c>
      <c r="G40" s="150">
        <f>F40*20</f>
        <v>1339590801.6000004</v>
      </c>
    </row>
    <row r="41" spans="2:21" ht="15.75" thickBot="1">
      <c r="B41" s="59"/>
      <c r="C41" s="35" t="s">
        <v>57</v>
      </c>
      <c r="D41" s="35" t="s">
        <v>295</v>
      </c>
      <c r="E41" s="35">
        <v>30</v>
      </c>
      <c r="F41" s="35">
        <v>30</v>
      </c>
      <c r="G41" s="60">
        <v>30</v>
      </c>
    </row>
    <row r="42" spans="2:21" ht="15.75" thickBot="1">
      <c r="C42" s="155"/>
    </row>
    <row r="43" spans="2:21">
      <c r="B43" s="146" t="s">
        <v>296</v>
      </c>
      <c r="C43" s="147"/>
      <c r="D43" s="147"/>
      <c r="E43" s="55"/>
    </row>
    <row r="44" spans="2:21">
      <c r="B44" s="56"/>
      <c r="C44" t="s">
        <v>297</v>
      </c>
      <c r="D44" t="s">
        <v>298</v>
      </c>
      <c r="E44" s="156">
        <f>8000/(24*365)</f>
        <v>0.91324200913242004</v>
      </c>
    </row>
    <row r="45" spans="2:21" ht="15.75" thickBot="1">
      <c r="B45" s="59"/>
      <c r="C45" s="35" t="s">
        <v>299</v>
      </c>
      <c r="D45" s="35" t="s">
        <v>298</v>
      </c>
      <c r="E45" s="60">
        <v>1</v>
      </c>
      <c r="P45" s="32"/>
      <c r="Q45" s="32"/>
      <c r="R45" s="32"/>
      <c r="S45" s="22"/>
      <c r="T45" s="138"/>
      <c r="U45" s="157"/>
    </row>
    <row r="47" spans="2:21" ht="15.75" thickBot="1"/>
    <row r="48" spans="2:21" ht="66">
      <c r="B48" s="52"/>
      <c r="C48" s="53" t="s">
        <v>86</v>
      </c>
      <c r="D48" s="53" t="s">
        <v>87</v>
      </c>
      <c r="E48" s="53" t="s">
        <v>88</v>
      </c>
      <c r="F48" s="53"/>
      <c r="G48" s="54" t="s">
        <v>89</v>
      </c>
      <c r="H48" s="54" t="s">
        <v>300</v>
      </c>
      <c r="I48" s="54" t="s">
        <v>301</v>
      </c>
      <c r="J48" s="158" t="s">
        <v>90</v>
      </c>
      <c r="K48" s="158" t="s">
        <v>302</v>
      </c>
    </row>
    <row r="49" spans="2:12">
      <c r="B49" s="56" t="s">
        <v>303</v>
      </c>
      <c r="C49">
        <v>1.4</v>
      </c>
      <c r="D49">
        <v>8.7999999999999995E-2</v>
      </c>
      <c r="E49">
        <v>4.41E-2</v>
      </c>
      <c r="G49">
        <v>1098</v>
      </c>
      <c r="H49">
        <f>G49*20</f>
        <v>21960</v>
      </c>
      <c r="I49">
        <f>H49*0.03</f>
        <v>658.8</v>
      </c>
      <c r="J49" s="57">
        <v>1.53</v>
      </c>
      <c r="K49">
        <f>J49*20</f>
        <v>30.6</v>
      </c>
      <c r="L49">
        <f>K49*31.56</f>
        <v>965.73599999999999</v>
      </c>
    </row>
    <row r="50" spans="2:12" ht="15.75" thickBot="1">
      <c r="B50" s="59" t="s">
        <v>92</v>
      </c>
      <c r="C50" s="35">
        <v>1.69</v>
      </c>
      <c r="D50" s="159">
        <f>E24/E33*1000</f>
        <v>0.10274624746273713</v>
      </c>
      <c r="E50" s="159">
        <f>C50*E49/C49</f>
        <v>5.3235000000000005E-2</v>
      </c>
      <c r="F50" s="35"/>
      <c r="G50" s="35">
        <f>C50*G49/C49</f>
        <v>1325.4428571428571</v>
      </c>
      <c r="H50" s="35">
        <f>C50*H49/C49</f>
        <v>26508.857142857145</v>
      </c>
      <c r="I50" s="35">
        <f>C50*I49/C49</f>
        <v>795.26571428571424</v>
      </c>
      <c r="J50" s="60">
        <f>C50*J49/C49</f>
        <v>1.8469285714285717</v>
      </c>
      <c r="K50" s="60">
        <f>D50*K49/D49</f>
        <v>35.72767241317905</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vt:i4>
      </vt:variant>
    </vt:vector>
  </HeadingPairs>
  <TitlesOfParts>
    <vt:vector size="12" baseType="lpstr">
      <vt:lpstr>RES</vt:lpstr>
      <vt:lpstr>Definitions</vt:lpstr>
      <vt:lpstr>GQLFG process</vt:lpstr>
      <vt:lpstr>H2 Storage</vt:lpstr>
      <vt:lpstr>CO2 storage</vt:lpstr>
      <vt:lpstr>Summary mass flow of process</vt:lpstr>
      <vt:lpstr>Electricity duties</vt:lpstr>
      <vt:lpstr>Sheet1</vt:lpstr>
      <vt:lpstr>GQLFG process older</vt:lpstr>
      <vt:lpstr>Old Case 4a</vt:lpstr>
      <vt:lpstr>Flow rate</vt:lpstr>
      <vt:lpstr>'Flow rate'!Print_Titles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Nasibe Nos</dc:creator>
  <cp:lastModifiedBy>Bryce Mc Call</cp:lastModifiedBy>
  <dcterms:created xsi:type="dcterms:W3CDTF">2024-08-22T09:19:23Z</dcterms:created>
  <dcterms:modified xsi:type="dcterms:W3CDTF">2024-09-16T14:00:50Z</dcterms:modified>
</cp:coreProperties>
</file>